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250" tabRatio="775" activeTab="3"/>
  </bookViews>
  <sheets>
    <sheet name="Orri wool data email" sheetId="1" r:id="rId1"/>
    <sheet name="myvatn jardabok" sheetId="2" r:id="rId2"/>
    <sheet name="Iceland wool ideas" sheetId="3" r:id="rId3"/>
    <sheet name="Modified 06 2 w fudge" sheetId="4" r:id="rId4"/>
    <sheet name="Modified 06 1" sheetId="5" r:id="rId5"/>
    <sheet name="read me" sheetId="6" r:id="rId6"/>
    <sheet name="original  Model 5.0" sheetId="7" r:id="rId7"/>
  </sheets>
  <definedNames>
    <definedName name="_xlnm.Print_Area" localSheetId="1">'myvatn jardabok'!$T$12:$AD$31</definedName>
  </definedNames>
  <calcPr fullCalcOnLoad="1" iterate="1" iterateCount="1" iterateDelta="0.001"/>
</workbook>
</file>

<file path=xl/sharedStrings.xml><?xml version="1.0" encoding="utf-8"?>
<sst xmlns="http://schemas.openxmlformats.org/spreadsheetml/2006/main" count="1631" uniqueCount="492">
  <si>
    <t>FARMPAC5</t>
  </si>
  <si>
    <t>Farmpact Base model for experimentation.</t>
  </si>
  <si>
    <t>FARMPACT Differential Impact Model Version 5.0</t>
  </si>
  <si>
    <t>Feel free to change the switches (fodder consumption, pasture condition, human population/ sq. meter of hall.</t>
  </si>
  <si>
    <t>This is a North Atlantic Biocultural Organization</t>
  </si>
  <si>
    <t>Working Model. Developed by T.H. McGovern and friends.</t>
  </si>
  <si>
    <t>Model Notes and assumptions:</t>
  </si>
  <si>
    <t>For more information contact:</t>
  </si>
  <si>
    <t>ASSUMPTIONS &amp; CONTROLS</t>
  </si>
  <si>
    <t>Tom McGovern</t>
  </si>
  <si>
    <t>Note that unlike McGovern, Bigelow et al. 1988</t>
  </si>
  <si>
    <t>Humans occupy ca. 2 sq m. of "hall"</t>
  </si>
  <si>
    <t>NABO</t>
  </si>
  <si>
    <t xml:space="preserve">this version uses rounded means  for ranks 3-4 of actual </t>
  </si>
  <si>
    <t>cows need about 2-3 sq meters each of measured byre space</t>
  </si>
  <si>
    <t>Hunter Bioarchaeology Lab</t>
  </si>
  <si>
    <t>zooarch., pasture, architec. data and allows for</t>
  </si>
  <si>
    <t>observed bone ratios overestimate cattle somewhat, but</t>
  </si>
  <si>
    <t xml:space="preserve">Hunter College </t>
  </si>
  <si>
    <t>a somewhat larger human household. WS Data only.</t>
  </si>
  <si>
    <t>not grossly. Thus you should use the byre/cow and Caprine/Cattle</t>
  </si>
  <si>
    <t xml:space="preserve">695 Park Ave. NYC </t>
  </si>
  <si>
    <t>Thus the output of FP5 will be somewhat different</t>
  </si>
  <si>
    <t>cells in the second panel from the top ("Controls") to keep</t>
  </si>
  <si>
    <t>10021 USA</t>
  </si>
  <si>
    <t>from the earlier versions (FP1-3)</t>
  </si>
  <si>
    <t>your adjustments of stock etc. within ballpark -or at least beaware</t>
  </si>
  <si>
    <t>when your solution fails to match the pattern suggested by the bones,</t>
  </si>
  <si>
    <t>212 772 5655</t>
  </si>
  <si>
    <t>byre areas, hall areas etc. Major focus is W. Settl., Gardar hypothetical in several areas.</t>
  </si>
  <si>
    <t>|</t>
  </si>
  <si>
    <t>FARMPAC5.WQ2  NABO 1995</t>
  </si>
  <si>
    <t>last worked March 5, 1995</t>
  </si>
  <si>
    <t>4 ranks, including one "superfarm" similar to Gardar</t>
  </si>
  <si>
    <t>FARM RANKS</t>
  </si>
  <si>
    <t>Social/economic Class:</t>
  </si>
  <si>
    <t>Superfarm</t>
  </si>
  <si>
    <t>District chief</t>
  </si>
  <si>
    <t>Bondi</t>
  </si>
  <si>
    <t>Poor Man</t>
  </si>
  <si>
    <t>Rank Order</t>
  </si>
  <si>
    <t>4-5</t>
  </si>
  <si>
    <t>Model Farm site for type</t>
  </si>
  <si>
    <t>Gardar O 47</t>
  </si>
  <si>
    <t>Sandnes V51</t>
  </si>
  <si>
    <t>V54,V53c,d, etc.</t>
  </si>
  <si>
    <t>V35,V16,V32</t>
  </si>
  <si>
    <t>CONTROLS: Architecture &amp; Bone ratios</t>
  </si>
  <si>
    <t>Byre size (measured sq. meters of floor area) WS only for 2-4</t>
  </si>
  <si>
    <t>Model's byre area/cows (ca. 2 - 3 sq m/cow)</t>
  </si>
  <si>
    <t>Approx. measured caprine/cattle bone ratios (WS means)</t>
  </si>
  <si>
    <t>?</t>
  </si>
  <si>
    <t>1 - 1.25</t>
  </si>
  <si>
    <t>1.5-3.5</t>
  </si>
  <si>
    <t>3 - 8</t>
  </si>
  <si>
    <t>Model's Caprine/Cattle Ratio</t>
  </si>
  <si>
    <t>NUMBER OF DOMESTIC ANIMALS</t>
  </si>
  <si>
    <t>cattle</t>
  </si>
  <si>
    <t>caprines</t>
  </si>
  <si>
    <t>FODDER REQUIREMENTS</t>
  </si>
  <si>
    <t>Fodder/taxon</t>
  </si>
  <si>
    <t>Per mature, lactating adult</t>
  </si>
  <si>
    <t>switch</t>
  </si>
  <si>
    <t>(kg)</t>
  </si>
  <si>
    <t>cattle fodder at 4400 kg/year</t>
  </si>
  <si>
    <t>caprine fodder at 700 kg/year</t>
  </si>
  <si>
    <t>_</t>
  </si>
  <si>
    <t>total</t>
  </si>
  <si>
    <t>Condition of Available Pasture</t>
  </si>
  <si>
    <t>(these are switches to adjust for erosion or growing season changes)</t>
  </si>
  <si>
    <t>% of maximum possible pasture area (x100)</t>
  </si>
  <si>
    <t>% of max. normal yield (x 100)</t>
  </si>
  <si>
    <t>PASTURE AREA  (&amp; Controls)</t>
  </si>
  <si>
    <t>Measured mean pasture area (ha) per type</t>
  </si>
  <si>
    <t>c. 800 ?</t>
  </si>
  <si>
    <t>350, now eroded</t>
  </si>
  <si>
    <t>Modelled pasture area (hectares)</t>
  </si>
  <si>
    <t>PASTURE QUALITY</t>
  </si>
  <si>
    <t>Yield</t>
  </si>
  <si>
    <t>Type (%)</t>
  </si>
  <si>
    <t>fodder</t>
  </si>
  <si>
    <t>kg/ha</t>
  </si>
  <si>
    <t>%</t>
  </si>
  <si>
    <t>kg</t>
  </si>
  <si>
    <t>Type of Pasture</t>
  </si>
  <si>
    <t>rich infield, manure, irrigation?</t>
  </si>
  <si>
    <t>good outfield or poor infield</t>
  </si>
  <si>
    <t>average outfield</t>
  </si>
  <si>
    <t>poor outfield</t>
  </si>
  <si>
    <t>FODDER BALANCE (kg)</t>
  </si>
  <si>
    <t>Fodder Produced</t>
  </si>
  <si>
    <t>Fodder Required</t>
  </si>
  <si>
    <t>Fodder Yield minus Fodder Required (kg)</t>
  </si>
  <si>
    <t>% reserve/shortfall</t>
  </si>
  <si>
    <t>HUMAN POPULATION MEASURES</t>
  </si>
  <si>
    <t>CONTROLS: Measured Hall Size (sq. meters)</t>
  </si>
  <si>
    <t xml:space="preserve">      </t>
  </si>
  <si>
    <t xml:space="preserve">Modelled human floor area requirement of about </t>
  </si>
  <si>
    <t>sq. m/pers./hall area</t>
  </si>
  <si>
    <t>(less 25% for 1st &amp; 2nd rank "festal" functions)</t>
  </si>
  <si>
    <t>produces estimated human household of about</t>
  </si>
  <si>
    <t>HOUSEHOLD PROVISIONING</t>
  </si>
  <si>
    <t>Est. Human Household (from above, unrounded)</t>
  </si>
  <si>
    <t>Production of "sheep units" (incl. cows as = 6 caprines)</t>
  </si>
  <si>
    <t>Human "sheep units" req. (9 per person)</t>
  </si>
  <si>
    <t>Sheep Units Production minus Required</t>
  </si>
  <si>
    <t># of adult rations surplus or lacking</t>
  </si>
  <si>
    <t>~</t>
  </si>
  <si>
    <t>FARMPAC5.WQ2  - NABO FARMPACT 5.0 MODEL</t>
  </si>
  <si>
    <t>TAXES, TITHES, AND RENTS</t>
  </si>
  <si>
    <t>Modelling the local community (Icel. "hreppur")</t>
  </si>
  <si>
    <t>"SANDNESHREPPUR" SIZE &amp; PROPORTIONS</t>
  </si>
  <si>
    <t>Total Western Settlement Population</t>
  </si>
  <si>
    <t>For a hypothetical "Sandneshreppur" of ca.AD 1350</t>
  </si>
  <si>
    <t>Assume about three, 25 farm hreppar in W. Settlement</t>
  </si>
  <si>
    <t>then the total modelled population for W. Settlement is</t>
  </si>
  <si>
    <t>farms in rank</t>
  </si>
  <si>
    <t>X</t>
  </si>
  <si>
    <t>=</t>
  </si>
  <si>
    <t>people</t>
  </si>
  <si>
    <t>Sandnes V51-       Rank 2</t>
  </si>
  <si>
    <t>Note that most authors est. ca. 1,000 people in W.Settlement</t>
  </si>
  <si>
    <t>V54, V52a etc.-    Rank 3</t>
  </si>
  <si>
    <t>V35, V36 etc.-     Rank 4-5</t>
  </si>
  <si>
    <t>Total</t>
  </si>
  <si>
    <t>Tax, Rent and Tithe Adjustments</t>
  </si>
  <si>
    <t>Calculations assume that all 4th rank farms are tenants of Sandnes or</t>
  </si>
  <si>
    <t>Reconstr. Hreppur Pop.</t>
  </si>
  <si>
    <t>of one of the third rank farms. Each 3rd rank has 1 tenant and is independent.</t>
  </si>
  <si>
    <t>Rank 2</t>
  </si>
  <si>
    <t>All farms owe tithe to Sandnes, itself exempt from tithe as a church farm.</t>
  </si>
  <si>
    <t>Rank 3</t>
  </si>
  <si>
    <t>If we follow the Icelandic Gragas code and general practice then,</t>
  </si>
  <si>
    <t>Rank 4-5</t>
  </si>
  <si>
    <t>Sandnes keeps 1/2 of the tithe, 1/4 to alms, 1/4 to Gardar.</t>
  </si>
  <si>
    <t>Only 4th rank farms owe rents, which follow Gragas &amp; tax total</t>
  </si>
  <si>
    <t>wealth (measured in sheep units).</t>
  </si>
  <si>
    <t>CHANGE TITHE LEVEL HERE  &gt;</t>
  </si>
  <si>
    <t>CHANGE RENTS LEVEL HERE  &gt;</t>
  </si>
  <si>
    <t>Farm Class model</t>
  </si>
  <si>
    <t>District Chief</t>
  </si>
  <si>
    <t>Farm Rank</t>
  </si>
  <si>
    <t>1st (Not modelled)</t>
  </si>
  <si>
    <t>2nd</t>
  </si>
  <si>
    <t>3rd</t>
  </si>
  <si>
    <t>4th</t>
  </si>
  <si>
    <t>Farms in Rank in hreppur</t>
  </si>
  <si>
    <t>Sheep units produced per farm</t>
  </si>
  <si>
    <t>Sheep Units consumed per farm</t>
  </si>
  <si>
    <t>Sheep Units owed as tithe</t>
  </si>
  <si>
    <t>Sheep units owed as rents</t>
  </si>
  <si>
    <t>Total owed</t>
  </si>
  <si>
    <t>Total Hreppur tithes</t>
  </si>
  <si>
    <t>human</t>
  </si>
  <si>
    <t>Hreppur tithes to Gardar (1/4)</t>
  </si>
  <si>
    <t>alms rations</t>
  </si>
  <si>
    <t>Hreppur tithes as poor relief (1/4)</t>
  </si>
  <si>
    <t>Sheep Unit Income as tithe</t>
  </si>
  <si>
    <t>Sheep Unit Income as Rents</t>
  </si>
  <si>
    <t>Total Income</t>
  </si>
  <si>
    <t>Produced+Income - Owed+Consumed (income balance)</t>
  </si>
  <si>
    <t>Surplus or Deficit as % of production</t>
  </si>
  <si>
    <t>STOCK REDUCTION OPTIONS</t>
  </si>
  <si>
    <t xml:space="preserve">Stock Reduction Required </t>
  </si>
  <si>
    <t>Rank</t>
  </si>
  <si>
    <t>by Fodder Shortfall</t>
  </si>
  <si>
    <t>Starting Cattle</t>
  </si>
  <si>
    <t>Starting Caprines</t>
  </si>
  <si>
    <t>Culled Cattle</t>
  </si>
  <si>
    <t>Culled Caprines</t>
  </si>
  <si>
    <t>total stock loss (animals)</t>
  </si>
  <si>
    <t>Percent of cattle culled</t>
  </si>
  <si>
    <t>Percent of caprines culled</t>
  </si>
  <si>
    <t>nabo@voicenet.com</t>
  </si>
  <si>
    <t>last worked Dec. 11th 2006</t>
  </si>
  <si>
    <t>FARMPACT 06</t>
  </si>
  <si>
    <t>FARMPAC06.xls  NABO 2006</t>
  </si>
  <si>
    <t>FARMPACT 2006 Excel revision</t>
  </si>
  <si>
    <t>This version is a minor rework of the original 1995 product, which was done</t>
  </si>
  <si>
    <t xml:space="preserve">in Quattro pro 5 (DOS), now a dead product. Added to this MS Excel </t>
  </si>
  <si>
    <t xml:space="preserve">version  is a wool production/consumption module with data provided by </t>
  </si>
  <si>
    <t>Orri Vesteinsson based on a number of Icelandic sources. As ever,</t>
  </si>
  <si>
    <t>Citation for publication:</t>
  </si>
  <si>
    <t>McGovern, Thomas H.</t>
  </si>
  <si>
    <r>
      <t>Farmpact 06,</t>
    </r>
    <r>
      <rPr>
        <sz val="12"/>
        <rFont val="Arial"/>
        <family val="0"/>
      </rPr>
      <t xml:space="preserve"> computer program in Excel, available </t>
    </r>
  </si>
  <si>
    <t>Wool production</t>
  </si>
  <si>
    <t>sheep/person</t>
  </si>
  <si>
    <t>Wool required thus</t>
  </si>
  <si>
    <t>sheep/person clothing</t>
  </si>
  <si>
    <t>sheep/person other</t>
  </si>
  <si>
    <t>total household consumption</t>
  </si>
  <si>
    <t>wethers</t>
  </si>
  <si>
    <t>ewes</t>
  </si>
  <si>
    <t>total adult sheep</t>
  </si>
  <si>
    <t>Sr. Bjarni</t>
  </si>
  <si>
    <t>Brandur</t>
  </si>
  <si>
    <t>non clothing</t>
  </si>
  <si>
    <t>div by 10</t>
  </si>
  <si>
    <t>Helgi concludes that the average farm (10+2) needs</t>
  </si>
  <si>
    <t>60 kg for clothes</t>
  </si>
  <si>
    <t>30 kg for bedclothes</t>
  </si>
  <si>
    <t>10 kg for sails and sundries</t>
  </si>
  <si>
    <t xml:space="preserve">12 kg for tax and tithe </t>
  </si>
  <si>
    <t>upto 70 kg for land rent (although it varied considerably in which medium this was paid (butter and fish being the main alternatives)</t>
  </si>
  <si>
    <t>est numbers</t>
  </si>
  <si>
    <t>basis</t>
  </si>
  <si>
    <t>Sveigakot V AU 3</t>
  </si>
  <si>
    <t>people (adults)</t>
  </si>
  <si>
    <t>5 sq m/person</t>
  </si>
  <si>
    <t>Adult Cattle est</t>
  </si>
  <si>
    <t>byre size</t>
  </si>
  <si>
    <t>WOOL PRODUCTION/ CONSUMPTION</t>
  </si>
  <si>
    <t>wethers and ewes</t>
  </si>
  <si>
    <t>ratio</t>
  </si>
  <si>
    <t>yield per sheep c 1.5 kg)</t>
  </si>
  <si>
    <t xml:space="preserve"> clothing per person (in sheep)</t>
  </si>
  <si>
    <t>bedding and sundries (yearly)</t>
  </si>
  <si>
    <t>tithe and rents?</t>
  </si>
  <si>
    <t>sheep needed to clothe household</t>
  </si>
  <si>
    <t>sheep needed for bedding and sundries</t>
  </si>
  <si>
    <t>tithes and rents</t>
  </si>
  <si>
    <t>total household needs (in sheep fleeces)</t>
  </si>
  <si>
    <t>ewes and wethers available</t>
  </si>
  <si>
    <t>surplus/deficit in sheep fleeces</t>
  </si>
  <si>
    <t>total clip (kg)</t>
  </si>
  <si>
    <t>wool surplus/deficit (kg)</t>
  </si>
  <si>
    <t>Stock</t>
  </si>
  <si>
    <t>% of total stock</t>
  </si>
  <si>
    <t>Ratios</t>
  </si>
  <si>
    <t>Data from Edvardsson's compilation of Jardabok (1712, autumn) data breakdown for Mývatn area.</t>
  </si>
  <si>
    <t>Sysla</t>
  </si>
  <si>
    <t>Þingeyjarsýsla</t>
  </si>
  <si>
    <t>Farm Valuation</t>
  </si>
  <si>
    <t>Occupants</t>
  </si>
  <si>
    <t>all stock</t>
  </si>
  <si>
    <t>Cattle</t>
  </si>
  <si>
    <t>Sheep</t>
  </si>
  <si>
    <t>Horse</t>
  </si>
  <si>
    <t>Goat</t>
  </si>
  <si>
    <t>Sheep/Cattle</t>
  </si>
  <si>
    <t>All cattle</t>
  </si>
  <si>
    <t>All Sheep</t>
  </si>
  <si>
    <t>Hreppur</t>
  </si>
  <si>
    <t>Mývatn</t>
  </si>
  <si>
    <t>mean</t>
  </si>
  <si>
    <t>Only Occupied Farms</t>
  </si>
  <si>
    <t>max</t>
  </si>
  <si>
    <t>Season Autumn 1710</t>
  </si>
  <si>
    <t>min</t>
  </si>
  <si>
    <t>Data Entry and Access</t>
  </si>
  <si>
    <t>sd</t>
  </si>
  <si>
    <t>stdev</t>
  </si>
  <si>
    <t xml:space="preserve">Database design by </t>
  </si>
  <si>
    <t>CV</t>
  </si>
  <si>
    <t>coeff. Var.</t>
  </si>
  <si>
    <t>Ragnar Edvarsson  fall 2000,</t>
  </si>
  <si>
    <t>Excel Spreadsheet Tom McGovern  with data from Clayton Tinsley Jan 2001, this version has changes suggested by Orri Vesteinsson, lumping dependent farms and Grof with Reykjahild</t>
  </si>
  <si>
    <t>In progress NABO product, please cite as "NABO Jardabok  Stocking Project (2000)"</t>
  </si>
  <si>
    <t>Myvatn01, updated 1/8/01</t>
  </si>
  <si>
    <t>totals</t>
  </si>
  <si>
    <t>ID</t>
  </si>
  <si>
    <t>Farm</t>
  </si>
  <si>
    <t>Type</t>
  </si>
  <si>
    <t>Date</t>
  </si>
  <si>
    <t>Value</t>
  </si>
  <si>
    <t>Double/single farm</t>
  </si>
  <si>
    <t>Graphics Code</t>
  </si>
  <si>
    <t>Sýsla</t>
  </si>
  <si>
    <t>total stock all sp</t>
  </si>
  <si>
    <t>Bos %</t>
  </si>
  <si>
    <t>Sheep %</t>
  </si>
  <si>
    <t>Horse %</t>
  </si>
  <si>
    <t>Goat %</t>
  </si>
  <si>
    <t>Sheep/Goats</t>
  </si>
  <si>
    <t>Cattle/Horses</t>
  </si>
  <si>
    <t>All Bos taurus</t>
  </si>
  <si>
    <t>Cows</t>
  </si>
  <si>
    <t>Winter old cow</t>
  </si>
  <si>
    <t>Heifers</t>
  </si>
  <si>
    <t>Calves</t>
  </si>
  <si>
    <t>Young bulls</t>
  </si>
  <si>
    <t>All Ovis aries</t>
  </si>
  <si>
    <t>Milk ewe</t>
  </si>
  <si>
    <t>Weather</t>
  </si>
  <si>
    <t>Lamb</t>
  </si>
  <si>
    <t>All Equus c.</t>
  </si>
  <si>
    <t>Horses</t>
  </si>
  <si>
    <t>Work Horse</t>
  </si>
  <si>
    <t>Philly</t>
  </si>
  <si>
    <t>Stallion</t>
  </si>
  <si>
    <t>All Capra h.</t>
  </si>
  <si>
    <t>Goats</t>
  </si>
  <si>
    <t>Billys</t>
  </si>
  <si>
    <t>Kids</t>
  </si>
  <si>
    <t>Driftwood</t>
  </si>
  <si>
    <t>Stranding</t>
  </si>
  <si>
    <t>Wildberries</t>
  </si>
  <si>
    <t>Seals</t>
  </si>
  <si>
    <t>Puffins</t>
  </si>
  <si>
    <t>Seaweed</t>
  </si>
  <si>
    <t>Shellfish</t>
  </si>
  <si>
    <t>Birch</t>
  </si>
  <si>
    <t>Hrognkelsi</t>
  </si>
  <si>
    <t>Salmon</t>
  </si>
  <si>
    <t>Trout</t>
  </si>
  <si>
    <t>Turfcutting</t>
  </si>
  <si>
    <t>Peat</t>
  </si>
  <si>
    <t>herbs</t>
  </si>
  <si>
    <t>Wood</t>
  </si>
  <si>
    <t>Eggs</t>
  </si>
  <si>
    <t>Angelica</t>
  </si>
  <si>
    <t>Fishing station</t>
  </si>
  <si>
    <t>Church</t>
  </si>
  <si>
    <t>Ruined chapel</t>
  </si>
  <si>
    <t>Johnsen  number</t>
  </si>
  <si>
    <t>Leigukúgildi</t>
  </si>
  <si>
    <t>Status</t>
  </si>
  <si>
    <t>Outlying farm belongs to</t>
  </si>
  <si>
    <t>Season</t>
  </si>
  <si>
    <t>Grímstaðir</t>
  </si>
  <si>
    <t>Single</t>
  </si>
  <si>
    <t>GST</t>
  </si>
  <si>
    <t>Occupied</t>
  </si>
  <si>
    <t/>
  </si>
  <si>
    <t>Autumn</t>
  </si>
  <si>
    <t>Briamsnes</t>
  </si>
  <si>
    <t>BRM</t>
  </si>
  <si>
    <t>Kálfaströnd</t>
  </si>
  <si>
    <t>KLF</t>
  </si>
  <si>
    <t>Geiteyjarströnd</t>
  </si>
  <si>
    <t>GTJ</t>
  </si>
  <si>
    <t>Vogar</t>
  </si>
  <si>
    <t>Double</t>
  </si>
  <si>
    <t>VOG</t>
  </si>
  <si>
    <t>Reykjahlíð</t>
  </si>
  <si>
    <t>Churchfarm</t>
  </si>
  <si>
    <t>RKH</t>
  </si>
  <si>
    <t>Fagranes</t>
  </si>
  <si>
    <t>FGR</t>
  </si>
  <si>
    <t>Ytri Neslönd</t>
  </si>
  <si>
    <t>YNS</t>
  </si>
  <si>
    <t>Vindbelgur</t>
  </si>
  <si>
    <t>VIN</t>
  </si>
  <si>
    <t>Haganes</t>
  </si>
  <si>
    <t>farm</t>
  </si>
  <si>
    <t>HAG</t>
  </si>
  <si>
    <t>Garður</t>
  </si>
  <si>
    <t>GAR</t>
  </si>
  <si>
    <t>Geirastaðir</t>
  </si>
  <si>
    <t>GRS</t>
  </si>
  <si>
    <t>Sveinströnd</t>
  </si>
  <si>
    <t>SVS</t>
  </si>
  <si>
    <t>0+1</t>
  </si>
  <si>
    <t>Baldursheimur</t>
  </si>
  <si>
    <t>BAL</t>
  </si>
  <si>
    <t>Hofstaðir</t>
  </si>
  <si>
    <t>HST</t>
  </si>
  <si>
    <t>Arnarvatn</t>
  </si>
  <si>
    <t>ARN</t>
  </si>
  <si>
    <t>Skútustaðir</t>
  </si>
  <si>
    <t>Chruchfarm</t>
  </si>
  <si>
    <t>SKU</t>
  </si>
  <si>
    <t>Grænavatn</t>
  </si>
  <si>
    <t>GRN</t>
  </si>
  <si>
    <t>Gautlönd</t>
  </si>
  <si>
    <t>GAU</t>
  </si>
  <si>
    <t>Dear Tom</t>
  </si>
  <si>
    <t>Some interesting remarks from his work:</t>
  </si>
  <si>
    <t>Both laws and actual figures from the middle ages suggest that 12 cows and 80 ewes was the normal ratio and size for an averege farm.  Numbers of wethers are in addition and fluctuate more, from 3 ewes to the wether to 2 wethers to the ewe.</t>
  </si>
  <si>
    <t>Wool specialists are apparently in agreement that wethers (geldir saudir) produce the best wool (p. 276).  Wool from uncastrated rams was considered the worst</t>
  </si>
  <si>
    <t>H concludes that an average Icelandic farm had 60-70 wethers, total sheep no then 140 (against 12 cows)</t>
  </si>
  <si>
    <t>A 1398 letter says that 10 wethers and 15 ewes gave 8 quarters of wool = 1,4 kg on average (washed?)</t>
  </si>
  <si>
    <t>Skuli Magnusson caluculates that 168 wethers give 250 kg of washed and ready to process wool = 1,48 kg per wether</t>
  </si>
  <si>
    <t>6 15 month sheep</t>
  </si>
  <si>
    <t>5,25 kg</t>
  </si>
  <si>
    <t>= 0,875</t>
  </si>
  <si>
    <t>24 ewes</t>
  </si>
  <si>
    <t>= 1,375</t>
  </si>
  <si>
    <t>6 2 yr old wethers</t>
  </si>
  <si>
    <t>8,25</t>
  </si>
  <si>
    <t>6 3 yr old wethers</t>
  </si>
  <si>
    <t>11,25</t>
  </si>
  <si>
    <t>= 1,875</t>
  </si>
  <si>
    <t>6 4 yr old wethers</t>
  </si>
  <si>
    <t>= 2,0</t>
  </si>
  <si>
    <t>On average = 1,49</t>
  </si>
  <si>
    <t>In 1976 the average in Iceland was 1,7 kg per ewe.</t>
  </si>
  <si>
    <t>HÞ thinks that the 5 kg of wool per person only covers clothes, not bedclothes</t>
  </si>
  <si>
    <t>1 ell of homespun equals 700 gramms of wool</t>
  </si>
  <si>
    <t>In 1552 fully grown students at Skalholt got 10 ells per annum (7 kg), but the poorest and less fully grown got 7 or 8 ells each.</t>
  </si>
  <si>
    <t>Helgi concludes that an average farm (20 hundreds with 8 grownups and 2 children) some 60 kgs of wool would be needed annually for clothes.</t>
  </si>
  <si>
    <t>Hope this is of some use</t>
  </si>
  <si>
    <t>All the best</t>
  </si>
  <si>
    <t>Orri</t>
  </si>
  <si>
    <t>Skuli Magnusson (late 18th century) says that you need 5 kg of wool to clothe one person per annum.  In a good year you get 1,5 kg of wool from a sheep, so you need 3,3 sheep to clothe a single person.</t>
  </si>
  <si>
    <t>Skúli Magnússon (1784): "Sveita=Bóndi." Rit þess Islenzka Lærdóms=Lista Felags IV, p. 156.</t>
  </si>
  <si>
    <t>Magnús Ketilsson who criticised many of Skuli's calculations agreed on the 5kg rule of thumb (1786).</t>
  </si>
  <si>
    <t>At length about this in Helgi Thorlaksson's Vadmal og verflag (1992), pp. 267-334.</t>
  </si>
  <si>
    <t>According to Gragas 20 ewes should produce 1 vætt of wool, the vætt normally considered to be 36,2 kg = 1,81 kg per ewe (Gragas I (1852), 248, 195) - possibly this is unwashed wool.  In late medieval Bualog the wool from 1 ewe is considered to be 8 marks or 1,76 kg - also probably unwashed because 18th century estimates give lower figures for washed wool (1-1,2 kg).  According to John M. Munro, 'Textile technology' in dictionary of the Middle ages 11 (1988), 694, the weight of the wool was reduced 15-25% by washing - so this makes sense.</t>
  </si>
  <si>
    <t>It seems that these authorities do not consider there to be any difference in the quantity of wool from ewes or wethers - it is just the quality that is different, but another 18th century commentator, Magnus Ketilsson gives the following table for wool weights (based on his own measurements of his own animals:</t>
  </si>
  <si>
    <t>Magnus Ketilsson (1786) 'Nockrar Athugasemdir …" Rit þess Islenzka Lærdóms=Lista Felags VII, 86, 91-92.</t>
  </si>
  <si>
    <t>In the middle ages a boarder at a monastery (usually well off people) was to have 20 ells of homespun = 14 kg of wool (10 sheep or so) whereas an incapable person (a child, disabled or infirm) was considered to need 8 ells 5,6 kg - there are also examples of 6 ells considered to be enough.</t>
  </si>
  <si>
    <t>The workers at Skalholt in 1502 and workers at Bessastadir in the 16th century got 7-8 ells on average - again close to 5 kg.</t>
  </si>
  <si>
    <t>It is also apparent that these figures relate to what in Icelandic is called "slitklaedi" - wear-clothes, i.e. the clothes people used every dag and which would need regular mending or replacing.  If people owned Sunday clothes that would be in addition to these figures.</t>
  </si>
  <si>
    <t>It also appears that these figures do not allow for underwear - which presumably got worn out more slowly than the work clothes.  In the 18th century it seems that it had become general practice to have underwear from linen.</t>
  </si>
  <si>
    <t>In addition allowance needs to be made for bedclothes and this Helgi estimates, based on mainly 16th century sources, to be 2,8 kg per person per annum (apparently you wear up your bedclothes biannually - I am sure you didn't know that) or 27 kg for the average farm with 8 grownups and 2 children)</t>
  </si>
  <si>
    <t>Helgi also mentions that many households would have needed sails and tents - but there are no figures available on what this usage was and he gives no information on how much wool would be needed for a tent for an assembly booth for instance.</t>
  </si>
  <si>
    <t>Wool was also used for drapes and wall hangings - these would have a much higher production cost than ordinary clothes and it is of course difficult to estimate how necessary they were considered to be.  The available examples are all about tapestries a la Bayeaux or church drapes</t>
  </si>
  <si>
    <t>He also thinks that the wool requirements were greater during the middle ages than in the 18th cenrtury - he then goes on to try to calculate how much wool would have been available at the average farm for export and to discuss production costs</t>
  </si>
  <si>
    <t>NB see the Orri wool data wks for more!</t>
  </si>
  <si>
    <t>Finnbogastaðir Jardabok data (NW Iceland) two households sharing the same farmstead</t>
  </si>
  <si>
    <t>rounded estimated wool needs per household in sheep (underestimate, only people * sheep)</t>
  </si>
  <si>
    <t>sheep/person/year</t>
  </si>
  <si>
    <t>shortfall</t>
  </si>
  <si>
    <t>modeled total caprine from above (assumes 100% sheep)</t>
  </si>
  <si>
    <t xml:space="preserve">this is freeware for community use- feel free to copy and modify, I'd be very interested in sharing ideas. </t>
  </si>
  <si>
    <t>your adjustments of stock etc. within ballpark -or at least be aware</t>
  </si>
  <si>
    <t>Bones to animals</t>
  </si>
  <si>
    <t>This one is rather tough, as of course we have data issues.</t>
  </si>
  <si>
    <t>1) much of the Greenlandic zooarch data still comes from older unsieved collections</t>
  </si>
  <si>
    <t>2) this surely produced a bias towards larger animal bones, esp. cattle.</t>
  </si>
  <si>
    <t>3) dogs and other taphonomic factors will certainly tend to reduce caprines still further</t>
  </si>
  <si>
    <t>Note 2: this version does not include a "fudge factor" for</t>
  </si>
  <si>
    <t>increasing caprines to cattle for taphonomic reasons</t>
  </si>
  <si>
    <t>see other worksheet in this set</t>
  </si>
  <si>
    <t>This version does include an adjustible "fudge factor"</t>
  </si>
  <si>
    <t>for increasing caprines to cattle for taphonomic reasons</t>
  </si>
  <si>
    <t>see other worksheet in this set for unmodified ratio only</t>
  </si>
  <si>
    <t>FARMPACT 2006 . 2  Excel revision</t>
  </si>
  <si>
    <t>FARMPAC06.xls  NABO 2006. 2</t>
  </si>
  <si>
    <t>Taphonomic fudge factor</t>
  </si>
  <si>
    <t>Enter your desired number of cattle  in these cells &gt;</t>
  </si>
  <si>
    <t>Enter your desired number of caprine  in these cells &gt;</t>
  </si>
  <si>
    <t>Adjustment for the taphonomic bias towards cattle (%)</t>
  </si>
  <si>
    <t>Fudge factor switch&gt;</t>
  </si>
  <si>
    <t>Adjusted number of stock after taphonomic fudge factor</t>
  </si>
  <si>
    <t>sheep/person other (1.5/ 2 yr, 0.75 per yr)</t>
  </si>
  <si>
    <t>shortfall =</t>
  </si>
  <si>
    <t>roughly quantifiable factors affecting herding and community economic decisions on the scale</t>
  </si>
  <si>
    <t>Welcome to Farmpact 06</t>
  </si>
  <si>
    <t>of the Icelandic hreppur (15-25 farm community) as makes any sense. It was developed for Greenland, making use</t>
  </si>
  <si>
    <t>of the archaeofauna and architectural data available as of 1995. These data are used as crude control points to bound</t>
  </si>
  <si>
    <t>Additions to 1995 model</t>
  </si>
  <si>
    <t>The main addition is the input of wool production/consumption data kindly provided</t>
  </si>
  <si>
    <t>from a range of medieval and early modern sources from Iceland by Dr. Orri Vesteinsson</t>
  </si>
  <si>
    <t xml:space="preserve">(Dept of History and Archaeology U Iceland). Note that it takes MANY sheep to provide </t>
  </si>
  <si>
    <t>basic clothing for households, and none of the modeled households in Farmpact 06 are</t>
  </si>
  <si>
    <t>4) so we need a "fudge factor" to add extra caprines relative to cattle. This is had been set at 30%, but is now</t>
  </si>
  <si>
    <t>made variable in version 06.2 (with fudge) so you can adjust this.</t>
  </si>
  <si>
    <t>Original ASSUMPTIONS &amp; CONTROLS</t>
  </si>
  <si>
    <t>Basic data on animal consumption/production is from Walter of Henley plus Friðriksson's 1972 paper on Icelandic</t>
  </si>
  <si>
    <t>animals. The basic currency in the model is "sheep units" which consume food and provide food at a more or less</t>
  </si>
  <si>
    <t>regular rate, and cattle are essentially calculated in terms of extra sheep units.</t>
  </si>
  <si>
    <t>The sheep units seem to be at least reasonable proxies of milk and meat from what we know from the medieval</t>
  </si>
  <si>
    <t>husbandries and modern / historic Icelandic stock, but this is surely an area for improvement.</t>
  </si>
  <si>
    <t>model variables and give a sense of the possibility of different options available (or not likely) under different.</t>
  </si>
  <si>
    <t>levels of pasture productivity and animal stocking levels for farms of different scale</t>
  </si>
  <si>
    <t>Areas for improvement</t>
  </si>
  <si>
    <t>Sheep units as model currency should be reconsidered, but beware of Kcal calculations based on modern animals</t>
  </si>
  <si>
    <t>ranging from the episcopal "super farm" to the tiny poor man's farm like V48. A major objective was to see how</t>
  </si>
  <si>
    <t>variation in production could impact farm households of different sizes differently (rain falls more on some than others).</t>
  </si>
  <si>
    <t>This is a rather simple-minded spreadsheet model (orginally Q Pro, now MS Excel) attempting to put together as many</t>
  </si>
  <si>
    <t>clever improvements and upgrades (much needed).</t>
  </si>
  <si>
    <t>Have fun.</t>
  </si>
  <si>
    <t xml:space="preserve">This is freeware, copy and modify as you like, please cite  if you use in publication, and do keep me up on all your </t>
  </si>
  <si>
    <t>coming close to meeting their requirements, despite use of taphonomic fudge factor.</t>
  </si>
  <si>
    <t>Note that this version does not split sheep from goats, which of course makes the clothing problem more intense.</t>
  </si>
  <si>
    <t>Wild species provisioning calculations- how many seals does it take to cope with the provisioning shortfalls?</t>
  </si>
  <si>
    <t>Missing here but coming later</t>
  </si>
  <si>
    <t>Graphics- these need replacement in Excel format- this is coming soon but you can do your own easily enough</t>
  </si>
  <si>
    <t>Multi-year runs- at present the model is a static snapshot rather than a moment in a stream of time- this is serious for animal production ideas</t>
  </si>
  <si>
    <t>An icelandic version with more direct connection to the wonderful Jardabok data (Mývatn material included here)</t>
  </si>
  <si>
    <t>Pigs need to be included somehow for earlier time periods, but this requires changes in both consumption and production data.</t>
  </si>
  <si>
    <t>Caprines should be split into sheep and goat, with appropriate switches to allow experimentation with different flock composition</t>
  </si>
  <si>
    <t>1) Both big and tiny farms have advantages and disadvantages of scale, but the most problematic households are in the middle</t>
  </si>
  <si>
    <t>2) The middle ranking "independent bondi" farms have a difficult game to play- high provisioning requirements and sometimes modest resouces</t>
  </si>
  <si>
    <t>3) Middle ranking farms also have a substantial environmental footprint in terms of fodder consumption</t>
  </si>
  <si>
    <t xml:space="preserve">Old output observations  from prior runs </t>
  </si>
  <si>
    <t xml:space="preserve">Hunter Bioarchaeology Lab 695 Park Ave. NYC </t>
  </si>
  <si>
    <t>4) Multi-farm landscapes (see Sandneshreppur at bottom) tend to be vulnerable to all sorts of change when they are composed of many middle rank farms</t>
  </si>
  <si>
    <t>5) Multi-farm landscapes are much more resistant to even extreme events if they are reduced to mostly very poor farms and a few big ones (hmmmm….).</t>
  </si>
  <si>
    <t>6) Different household sizes have major impact upon the modeled economic balances, and vulnerability to environmental change- but the middle ranks get</t>
  </si>
  <si>
    <t xml:space="preserve">hurt first and worst unless they can gain multiple tenants to exploit. </t>
  </si>
  <si>
    <t>7) There is very little slack or surplus in the modeled system. The total hreppur surplus is small under all circumstances, and there isn't much chance for</t>
  </si>
  <si>
    <t>really large scale poor relief from within the system (hence the fear of immegrating paupers in the sources).</t>
  </si>
  <si>
    <t>Better handling of tithe and tax burdens- these are far too simplistic</t>
  </si>
  <si>
    <t>8) At some point, stock replacement times become extreme after a major cull- the larger herds of the large farms definitely are necessary to maintain biological</t>
  </si>
  <si>
    <t>biologically viable levels of domestic animal populations. Large farms are key to long term survival and resilience- not just centers for opression and evil.</t>
  </si>
  <si>
    <t>Stock replacement calculator- still being rescued from bit-rot, but you can build your own fairly easily by putting in a fertillity switch</t>
  </si>
  <si>
    <t>Labor quantification- how many hands are needed to harvest the modeled amount of fodder? Is this in Icelandic sources?</t>
  </si>
  <si>
    <t>Better handling of human household size and composition.</t>
  </si>
  <si>
    <r>
      <t xml:space="preserve">A great many- but linkage to Amanda Thompson's </t>
    </r>
    <r>
      <rPr>
        <b/>
        <i/>
        <sz val="12"/>
        <rFont val="Arial"/>
        <family val="2"/>
      </rPr>
      <t>Bumodel</t>
    </r>
    <r>
      <rPr>
        <sz val="12"/>
        <rFont val="Arial"/>
        <family val="0"/>
      </rPr>
      <t xml:space="preserve"> would be very useful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</si>
</sst>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quot;Yes&quot;;&quot;Yes&quot;;&quot;No&quot;"/>
    <numFmt numFmtId="169" formatCode="&quot;True&quot;;&quot;True&quot;;&quot;False&quot;"/>
    <numFmt numFmtId="170" formatCode="&quot;On&quot;;&quot;On&quot;;&quot;Off&quot;"/>
    <numFmt numFmtId="171" formatCode="[$€-2]\ #,##0.00_);[Red]\([$€-2]\ #,##0.00\)"/>
  </numFmts>
  <fonts count="19">
    <font>
      <sz val="12"/>
      <name val="Arial"/>
      <family val="0"/>
    </font>
    <font>
      <sz val="14"/>
      <name val="Arial"/>
      <family val="0"/>
    </font>
    <font>
      <i/>
      <sz val="10"/>
      <name val="Arial"/>
      <family val="0"/>
    </font>
    <font>
      <b/>
      <sz val="14"/>
      <name val="Arial"/>
      <family val="0"/>
    </font>
    <font>
      <b/>
      <sz val="16"/>
      <name val="Arial"/>
      <family val="0"/>
    </font>
    <font>
      <b/>
      <sz val="12"/>
      <name val="Arial"/>
      <family val="0"/>
    </font>
    <font>
      <b/>
      <i/>
      <sz val="18"/>
      <name val="Arial"/>
      <family val="0"/>
    </font>
    <font>
      <u val="single"/>
      <sz val="12"/>
      <color indexed="12"/>
      <name val="Arial"/>
      <family val="0"/>
    </font>
    <font>
      <sz val="8"/>
      <name val="Arial"/>
      <family val="0"/>
    </font>
    <font>
      <u val="single"/>
      <sz val="12"/>
      <color indexed="36"/>
      <name val="Arial"/>
      <family val="0"/>
    </font>
    <font>
      <i/>
      <sz val="12"/>
      <name val="Arial"/>
      <family val="2"/>
    </font>
    <font>
      <b/>
      <sz val="10"/>
      <name val="Arial"/>
      <family val="2"/>
    </font>
    <font>
      <sz val="10"/>
      <name val="Arial"/>
      <family val="2"/>
    </font>
    <font>
      <sz val="10"/>
      <color indexed="18"/>
      <name val="Arial"/>
      <family val="2"/>
    </font>
    <font>
      <sz val="10"/>
      <color indexed="8"/>
      <name val="Arial"/>
      <family val="0"/>
    </font>
    <font>
      <sz val="11"/>
      <name val="Arial"/>
      <family val="2"/>
    </font>
    <font>
      <sz val="9"/>
      <name val="Arial"/>
      <family val="2"/>
    </font>
    <font>
      <sz val="12"/>
      <color indexed="8"/>
      <name val="Arial"/>
      <family val="2"/>
    </font>
    <font>
      <b/>
      <i/>
      <sz val="12"/>
      <name val="Arial"/>
      <family val="2"/>
    </font>
  </fonts>
  <fills count="1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10"/>
        <bgColor indexed="64"/>
      </patternFill>
    </fill>
    <fill>
      <patternFill patternType="solid">
        <fgColor indexed="49"/>
        <bgColor indexed="64"/>
      </patternFill>
    </fill>
    <fill>
      <patternFill patternType="solid">
        <fgColor indexed="49"/>
        <bgColor indexed="64"/>
      </patternFill>
    </fill>
    <fill>
      <patternFill patternType="solid">
        <fgColor indexed="40"/>
        <bgColor indexed="64"/>
      </patternFill>
    </fill>
  </fills>
  <borders count="11">
    <border>
      <left/>
      <right/>
      <top/>
      <bottom/>
      <diagonal/>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2" fontId="0" fillId="0" borderId="0" applyFont="0" applyFill="0" applyBorder="0" applyAlignment="0" applyProtection="0"/>
    <xf numFmtId="41" fontId="12" fillId="0" borderId="0" applyFont="0" applyFill="0" applyBorder="0" applyAlignment="0" applyProtection="0"/>
    <xf numFmtId="2" fontId="0" fillId="0" borderId="0" applyFont="0" applyFill="0" applyBorder="0" applyAlignment="0" applyProtection="0"/>
    <xf numFmtId="42" fontId="1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12" fillId="0" borderId="0">
      <alignment/>
      <protection/>
    </xf>
    <xf numFmtId="0" fontId="14" fillId="0" borderId="0">
      <alignment/>
      <protection/>
    </xf>
    <xf numFmtId="2" fontId="0" fillId="0" borderId="0" applyFont="0" applyFill="0" applyBorder="0" applyAlignment="0" applyProtection="0"/>
    <xf numFmtId="0" fontId="0" fillId="0" borderId="0" applyFont="0" applyFill="0" applyBorder="0" applyAlignment="0" applyProtection="0"/>
  </cellStyleXfs>
  <cellXfs count="80">
    <xf numFmtId="0" fontId="0" fillId="0" borderId="0" xfId="0" applyAlignment="1">
      <alignment/>
    </xf>
    <xf numFmtId="2" fontId="0" fillId="0" borderId="0" xfId="0" applyAlignment="1">
      <alignment/>
    </xf>
    <xf numFmtId="1" fontId="0" fillId="0" borderId="0" xfId="0" applyAlignment="1">
      <alignment/>
    </xf>
    <xf numFmtId="0" fontId="6" fillId="0" borderId="0" xfId="0" applyAlignment="1">
      <alignment/>
    </xf>
    <xf numFmtId="0" fontId="2" fillId="0" borderId="0" xfId="0" applyAlignment="1">
      <alignment/>
    </xf>
    <xf numFmtId="0" fontId="3" fillId="0" borderId="0" xfId="0" applyAlignment="1">
      <alignment/>
    </xf>
    <xf numFmtId="2" fontId="3" fillId="0" borderId="0" xfId="0" applyAlignment="1">
      <alignment/>
    </xf>
    <xf numFmtId="0" fontId="0" fillId="0" borderId="0" xfId="0" applyAlignment="1">
      <alignment horizontal="center"/>
    </xf>
    <xf numFmtId="0" fontId="0" fillId="0" borderId="0" xfId="0" applyAlignment="1">
      <alignment horizontal="right"/>
    </xf>
    <xf numFmtId="164" fontId="0" fillId="0" borderId="0" xfId="0" applyAlignment="1">
      <alignment horizontal="center"/>
    </xf>
    <xf numFmtId="0" fontId="4" fillId="0" borderId="0" xfId="0" applyAlignment="1">
      <alignment horizontal="center"/>
    </xf>
    <xf numFmtId="0" fontId="5" fillId="0" borderId="0" xfId="0" applyAlignment="1">
      <alignment/>
    </xf>
    <xf numFmtId="0" fontId="4" fillId="0" borderId="0" xfId="0" applyAlignment="1">
      <alignment/>
    </xf>
    <xf numFmtId="1" fontId="0" fillId="0" borderId="0" xfId="0" applyAlignment="1">
      <alignment horizontal="center"/>
    </xf>
    <xf numFmtId="0" fontId="1" fillId="0" borderId="0" xfId="0" applyAlignment="1">
      <alignment/>
    </xf>
    <xf numFmtId="0" fontId="7" fillId="0" borderId="0" xfId="24" applyAlignment="1">
      <alignment/>
    </xf>
    <xf numFmtId="0" fontId="2" fillId="0" borderId="0" xfId="0" applyFont="1" applyAlignment="1">
      <alignment/>
    </xf>
    <xf numFmtId="0" fontId="6" fillId="0" borderId="0" xfId="0" applyFont="1" applyAlignment="1">
      <alignment/>
    </xf>
    <xf numFmtId="0" fontId="0" fillId="2" borderId="0" xfId="0" applyFill="1" applyAlignment="1">
      <alignment/>
    </xf>
    <xf numFmtId="0" fontId="10" fillId="2" borderId="0" xfId="0" applyFont="1" applyFill="1" applyAlignment="1">
      <alignment/>
    </xf>
    <xf numFmtId="0" fontId="7" fillId="2" borderId="0" xfId="24" applyFill="1" applyAlignment="1">
      <alignment/>
    </xf>
    <xf numFmtId="0" fontId="1" fillId="2" borderId="0" xfId="0" applyFont="1" applyFill="1" applyAlignment="1">
      <alignment/>
    </xf>
    <xf numFmtId="0" fontId="12" fillId="0" borderId="0" xfId="25">
      <alignment/>
      <protection/>
    </xf>
    <xf numFmtId="0" fontId="13" fillId="0" borderId="0" xfId="25" applyFont="1">
      <alignment/>
      <protection/>
    </xf>
    <xf numFmtId="2" fontId="12" fillId="0" borderId="0" xfId="25" applyNumberFormat="1">
      <alignment/>
      <protection/>
    </xf>
    <xf numFmtId="1" fontId="12" fillId="0" borderId="0" xfId="25" applyNumberFormat="1" applyFont="1">
      <alignment/>
      <protection/>
    </xf>
    <xf numFmtId="2" fontId="12" fillId="0" borderId="0" xfId="25" applyNumberFormat="1" applyFont="1">
      <alignment/>
      <protection/>
    </xf>
    <xf numFmtId="1" fontId="2" fillId="0" borderId="0" xfId="25" applyNumberFormat="1" applyFont="1" applyAlignment="1">
      <alignment horizontal="center"/>
      <protection/>
    </xf>
    <xf numFmtId="164" fontId="12" fillId="0" borderId="0" xfId="25" applyNumberFormat="1" applyFont="1">
      <alignment/>
      <protection/>
    </xf>
    <xf numFmtId="1" fontId="12" fillId="0" borderId="1" xfId="25" applyNumberFormat="1" applyFont="1" applyBorder="1">
      <alignment/>
      <protection/>
    </xf>
    <xf numFmtId="1" fontId="12" fillId="0" borderId="0" xfId="25" applyNumberFormat="1" applyFont="1" applyBorder="1">
      <alignment/>
      <protection/>
    </xf>
    <xf numFmtId="1" fontId="12" fillId="0" borderId="0" xfId="25" applyNumberFormat="1" applyFont="1" applyAlignment="1">
      <alignment horizontal="right"/>
      <protection/>
    </xf>
    <xf numFmtId="0" fontId="0" fillId="0" borderId="0" xfId="25" applyFont="1">
      <alignment/>
      <protection/>
    </xf>
    <xf numFmtId="2" fontId="0" fillId="0" borderId="0" xfId="25" applyNumberFormat="1" applyFont="1">
      <alignment/>
      <protection/>
    </xf>
    <xf numFmtId="0" fontId="12" fillId="0" borderId="2" xfId="26" applyFont="1" applyFill="1" applyBorder="1" applyAlignment="1">
      <alignment horizontal="left" wrapText="1"/>
      <protection/>
    </xf>
    <xf numFmtId="0" fontId="15" fillId="0" borderId="0" xfId="25" applyFont="1">
      <alignment/>
      <protection/>
    </xf>
    <xf numFmtId="0" fontId="15" fillId="0" borderId="0" xfId="25" applyFont="1" applyFill="1" applyBorder="1">
      <alignment/>
      <protection/>
    </xf>
    <xf numFmtId="0" fontId="0" fillId="0" borderId="0" xfId="25" applyFont="1" applyFill="1" applyBorder="1">
      <alignment/>
      <protection/>
    </xf>
    <xf numFmtId="0" fontId="16" fillId="0" borderId="0" xfId="25" applyFont="1" applyFill="1" applyBorder="1">
      <alignment/>
      <protection/>
    </xf>
    <xf numFmtId="0" fontId="14" fillId="3" borderId="3" xfId="26" applyFont="1" applyFill="1" applyBorder="1" applyAlignment="1">
      <alignment horizontal="center"/>
      <protection/>
    </xf>
    <xf numFmtId="2" fontId="14" fillId="3" borderId="3" xfId="26" applyNumberFormat="1" applyFont="1" applyFill="1" applyBorder="1" applyAlignment="1">
      <alignment horizontal="center"/>
      <protection/>
    </xf>
    <xf numFmtId="0" fontId="17" fillId="0" borderId="0" xfId="25" applyFont="1">
      <alignment/>
      <protection/>
    </xf>
    <xf numFmtId="0" fontId="12" fillId="0" borderId="2" xfId="26" applyFont="1" applyFill="1" applyBorder="1" applyAlignment="1">
      <alignment horizontal="right" wrapText="1"/>
      <protection/>
    </xf>
    <xf numFmtId="2" fontId="12" fillId="0" borderId="2" xfId="26" applyNumberFormat="1" applyFont="1" applyFill="1" applyBorder="1" applyAlignment="1">
      <alignment horizontal="right" wrapText="1"/>
      <protection/>
    </xf>
    <xf numFmtId="2" fontId="12" fillId="0" borderId="2" xfId="26" applyNumberFormat="1" applyFont="1" applyFill="1" applyBorder="1" applyAlignment="1">
      <alignment horizontal="left" wrapText="1"/>
      <protection/>
    </xf>
    <xf numFmtId="0" fontId="13" fillId="0" borderId="0" xfId="0" applyFont="1" applyAlignment="1">
      <alignment/>
    </xf>
    <xf numFmtId="0" fontId="13" fillId="0" borderId="0" xfId="0" applyNumberFormat="1" applyFont="1" applyAlignment="1">
      <alignment/>
    </xf>
    <xf numFmtId="0" fontId="4" fillId="4" borderId="0" xfId="0" applyFont="1" applyFill="1" applyAlignment="1">
      <alignment horizontal="center"/>
    </xf>
    <xf numFmtId="0" fontId="0" fillId="4" borderId="0" xfId="0" applyFill="1" applyAlignment="1">
      <alignment/>
    </xf>
    <xf numFmtId="1" fontId="0" fillId="4" borderId="0" xfId="0" applyFill="1" applyAlignment="1">
      <alignment/>
    </xf>
    <xf numFmtId="0" fontId="12" fillId="5" borderId="0" xfId="25" applyFill="1">
      <alignment/>
      <protection/>
    </xf>
    <xf numFmtId="0" fontId="11" fillId="4" borderId="0" xfId="0" applyFont="1" applyFill="1" applyAlignment="1">
      <alignment horizontal="center"/>
    </xf>
    <xf numFmtId="0" fontId="12" fillId="0" borderId="0" xfId="25" applyFont="1">
      <alignment/>
      <protection/>
    </xf>
    <xf numFmtId="1" fontId="0" fillId="4" borderId="0" xfId="0" applyNumberFormat="1" applyFill="1" applyAlignment="1">
      <alignment/>
    </xf>
    <xf numFmtId="0" fontId="0" fillId="4" borderId="0" xfId="0" applyFill="1" applyAlignment="1">
      <alignment horizontal="center"/>
    </xf>
    <xf numFmtId="0" fontId="0" fillId="6" borderId="0" xfId="0" applyFill="1" applyAlignment="1">
      <alignment/>
    </xf>
    <xf numFmtId="0" fontId="3" fillId="0" borderId="0" xfId="0" applyFont="1" applyAlignment="1">
      <alignment/>
    </xf>
    <xf numFmtId="0" fontId="0" fillId="0" borderId="0" xfId="0" applyFill="1" applyAlignment="1">
      <alignment/>
    </xf>
    <xf numFmtId="0" fontId="0" fillId="7" borderId="0" xfId="0" applyFill="1" applyAlignment="1">
      <alignment/>
    </xf>
    <xf numFmtId="0" fontId="0" fillId="7"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10" xfId="0" applyFill="1" applyBorder="1" applyAlignment="1">
      <alignment/>
    </xf>
    <xf numFmtId="0" fontId="0" fillId="7" borderId="0" xfId="0" applyFill="1" applyAlignment="1">
      <alignment horizontal="right"/>
    </xf>
    <xf numFmtId="0" fontId="0" fillId="8" borderId="0" xfId="0" applyFill="1" applyAlignment="1">
      <alignment/>
    </xf>
    <xf numFmtId="0" fontId="0" fillId="8" borderId="0" xfId="0" applyFill="1" applyAlignment="1">
      <alignment horizontal="center"/>
    </xf>
    <xf numFmtId="0" fontId="12" fillId="5" borderId="0" xfId="25" applyFont="1" applyFill="1">
      <alignment/>
      <protection/>
    </xf>
    <xf numFmtId="1" fontId="0" fillId="4" borderId="9" xfId="0" applyFill="1" applyBorder="1" applyAlignment="1">
      <alignment/>
    </xf>
    <xf numFmtId="0" fontId="5" fillId="0" borderId="0" xfId="0" applyFont="1" applyAlignment="1">
      <alignment/>
    </xf>
    <xf numFmtId="0" fontId="18" fillId="0" borderId="0" xfId="0" applyFont="1" applyAlignment="1">
      <alignment/>
    </xf>
    <xf numFmtId="0" fontId="18" fillId="6" borderId="0" xfId="0" applyFont="1" applyFill="1" applyAlignment="1">
      <alignment/>
    </xf>
    <xf numFmtId="0" fontId="0" fillId="9" borderId="0" xfId="0" applyFill="1" applyAlignment="1">
      <alignment/>
    </xf>
    <xf numFmtId="0" fontId="10" fillId="9" borderId="0" xfId="0" applyFont="1" applyFill="1" applyAlignment="1">
      <alignment/>
    </xf>
    <xf numFmtId="0" fontId="7" fillId="9" borderId="0" xfId="24" applyFill="1" applyAlignment="1">
      <alignment/>
    </xf>
    <xf numFmtId="0" fontId="7" fillId="0" borderId="0" xfId="24" applyFill="1" applyAlignment="1">
      <alignment/>
    </xf>
    <xf numFmtId="0" fontId="0" fillId="0" borderId="9" xfId="0" applyBorder="1" applyAlignment="1">
      <alignment/>
    </xf>
    <xf numFmtId="1" fontId="0" fillId="0" borderId="9" xfId="0" applyBorder="1" applyAlignment="1">
      <alignment/>
    </xf>
  </cellXfs>
  <cellStyles count="15">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_iceland farm econ 03" xfId="25"/>
    <cellStyle name="Normal_Sheet1"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nabo@voicenet.com" TargetMode="External" /><Relationship Id="rId2" Type="http://schemas.openxmlformats.org/officeDocument/2006/relationships/hyperlink" Target="mailto:nabo@voicenet.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nabo@voicenet.com" TargetMode="External" /><Relationship Id="rId2" Type="http://schemas.openxmlformats.org/officeDocument/2006/relationships/hyperlink" Target="mailto:nabo@voicenet.com" TargetMode="Externa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nabo@voicenet.com"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mailto:nabo@voicenet.com" TargetMode="External" /></Relationships>
</file>

<file path=xl/worksheets/sheet1.xml><?xml version="1.0" encoding="utf-8"?>
<worksheet xmlns="http://schemas.openxmlformats.org/spreadsheetml/2006/main" xmlns:r="http://schemas.openxmlformats.org/officeDocument/2006/relationships">
  <dimension ref="A2:E76"/>
  <sheetViews>
    <sheetView workbookViewId="0" topLeftCell="A40">
      <selection activeCell="I9" sqref="I9"/>
    </sheetView>
  </sheetViews>
  <sheetFormatPr defaultColWidth="8.88671875" defaultRowHeight="15"/>
  <sheetData>
    <row r="2" ht="15">
      <c r="A2" s="45" t="s">
        <v>366</v>
      </c>
    </row>
    <row r="3" ht="15">
      <c r="A3" s="45"/>
    </row>
    <row r="4" ht="15">
      <c r="A4" s="45" t="s">
        <v>394</v>
      </c>
    </row>
    <row r="5" ht="15">
      <c r="A5" s="45"/>
    </row>
    <row r="6" ht="15">
      <c r="A6" s="45" t="s">
        <v>395</v>
      </c>
    </row>
    <row r="7" ht="15">
      <c r="A7" s="45"/>
    </row>
    <row r="8" ht="15">
      <c r="A8" s="45" t="s">
        <v>396</v>
      </c>
    </row>
    <row r="9" ht="15">
      <c r="A9" s="45"/>
    </row>
    <row r="10" ht="15">
      <c r="A10" s="45" t="s">
        <v>397</v>
      </c>
    </row>
    <row r="11" ht="15">
      <c r="A11" s="45"/>
    </row>
    <row r="12" ht="15">
      <c r="A12" s="45" t="s">
        <v>367</v>
      </c>
    </row>
    <row r="13" ht="15">
      <c r="A13" s="45"/>
    </row>
    <row r="14" ht="15">
      <c r="A14" s="45" t="s">
        <v>368</v>
      </c>
    </row>
    <row r="15" ht="15">
      <c r="A15" s="45"/>
    </row>
    <row r="16" ht="15">
      <c r="A16" s="45" t="s">
        <v>369</v>
      </c>
    </row>
    <row r="17" ht="15">
      <c r="A17" s="45"/>
    </row>
    <row r="18" ht="15">
      <c r="A18" s="45" t="s">
        <v>370</v>
      </c>
    </row>
    <row r="19" ht="15">
      <c r="A19" s="45"/>
    </row>
    <row r="20" ht="15">
      <c r="A20" s="46" t="s">
        <v>398</v>
      </c>
    </row>
    <row r="21" ht="15">
      <c r="A21" s="45"/>
    </row>
    <row r="22" ht="15">
      <c r="A22" s="45" t="s">
        <v>371</v>
      </c>
    </row>
    <row r="23" ht="15">
      <c r="A23" s="45"/>
    </row>
    <row r="24" ht="15">
      <c r="A24" s="45" t="s">
        <v>372</v>
      </c>
    </row>
    <row r="25" ht="15">
      <c r="A25" s="45"/>
    </row>
    <row r="26" ht="15">
      <c r="A26" s="46" t="s">
        <v>399</v>
      </c>
    </row>
    <row r="27" ht="15">
      <c r="A27" s="45"/>
    </row>
    <row r="28" spans="1:4" ht="15">
      <c r="A28" s="45" t="s">
        <v>373</v>
      </c>
      <c r="B28" s="45" t="s">
        <v>374</v>
      </c>
      <c r="D28" s="45" t="s">
        <v>375</v>
      </c>
    </row>
    <row r="29" spans="1:5" ht="15">
      <c r="A29" s="45" t="s">
        <v>376</v>
      </c>
      <c r="C29" s="45">
        <v>33</v>
      </c>
      <c r="E29" s="45" t="s">
        <v>377</v>
      </c>
    </row>
    <row r="30" spans="1:4" ht="15">
      <c r="A30" s="45" t="s">
        <v>378</v>
      </c>
      <c r="B30" s="45" t="s">
        <v>379</v>
      </c>
      <c r="D30" s="45" t="s">
        <v>377</v>
      </c>
    </row>
    <row r="31" spans="1:4" ht="15">
      <c r="A31" s="45" t="s">
        <v>380</v>
      </c>
      <c r="B31" s="45" t="s">
        <v>381</v>
      </c>
      <c r="D31" s="45" t="s">
        <v>382</v>
      </c>
    </row>
    <row r="32" spans="1:4" ht="15">
      <c r="A32" s="45" t="s">
        <v>383</v>
      </c>
      <c r="B32" s="45">
        <v>12</v>
      </c>
      <c r="D32" s="45" t="s">
        <v>384</v>
      </c>
    </row>
    <row r="33" ht="15">
      <c r="A33" s="45"/>
    </row>
    <row r="34" ht="15">
      <c r="A34" s="45" t="s">
        <v>385</v>
      </c>
    </row>
    <row r="35" ht="15">
      <c r="A35" s="45"/>
    </row>
    <row r="36" ht="15">
      <c r="A36" s="45" t="s">
        <v>400</v>
      </c>
    </row>
    <row r="37" ht="15">
      <c r="A37" s="45"/>
    </row>
    <row r="38" ht="15">
      <c r="A38" s="45" t="s">
        <v>386</v>
      </c>
    </row>
    <row r="39" ht="15">
      <c r="A39" s="45"/>
    </row>
    <row r="40" ht="15">
      <c r="A40" s="45" t="s">
        <v>387</v>
      </c>
    </row>
    <row r="41" ht="15">
      <c r="A41" s="45"/>
    </row>
    <row r="42" ht="15">
      <c r="A42" s="45" t="s">
        <v>388</v>
      </c>
    </row>
    <row r="43" ht="15">
      <c r="A43" s="45"/>
    </row>
    <row r="44" ht="15">
      <c r="A44" s="46" t="s">
        <v>401</v>
      </c>
    </row>
    <row r="45" ht="15">
      <c r="A45" s="45"/>
    </row>
    <row r="46" ht="15">
      <c r="A46" s="45" t="s">
        <v>402</v>
      </c>
    </row>
    <row r="47" ht="15">
      <c r="A47" s="45"/>
    </row>
    <row r="48" ht="15">
      <c r="A48" s="45" t="s">
        <v>389</v>
      </c>
    </row>
    <row r="49" ht="15">
      <c r="A49" s="45"/>
    </row>
    <row r="50" ht="15">
      <c r="A50" s="46" t="s">
        <v>403</v>
      </c>
    </row>
    <row r="51" ht="15">
      <c r="A51" s="45"/>
    </row>
    <row r="52" ht="15">
      <c r="A52" s="45" t="s">
        <v>404</v>
      </c>
    </row>
    <row r="53" ht="15">
      <c r="A53" s="45"/>
    </row>
    <row r="54" ht="15">
      <c r="A54" s="45" t="s">
        <v>390</v>
      </c>
    </row>
    <row r="55" ht="15">
      <c r="A55" s="45"/>
    </row>
    <row r="56" ht="15">
      <c r="A56" s="46" t="s">
        <v>405</v>
      </c>
    </row>
    <row r="57" ht="15">
      <c r="A57" s="45"/>
    </row>
    <row r="58" ht="15">
      <c r="A58" s="45" t="s">
        <v>406</v>
      </c>
    </row>
    <row r="59" ht="15">
      <c r="A59" s="45"/>
    </row>
    <row r="60" ht="15">
      <c r="A60" s="46" t="s">
        <v>407</v>
      </c>
    </row>
    <row r="61" ht="15">
      <c r="A61" s="45"/>
    </row>
    <row r="62" ht="15">
      <c r="A62" s="45" t="s">
        <v>198</v>
      </c>
    </row>
    <row r="63" ht="15">
      <c r="A63" s="45"/>
    </row>
    <row r="64" ht="15">
      <c r="A64" s="45" t="s">
        <v>199</v>
      </c>
    </row>
    <row r="65" ht="15">
      <c r="A65" s="45" t="s">
        <v>200</v>
      </c>
    </row>
    <row r="66" ht="15">
      <c r="A66" s="45" t="s">
        <v>201</v>
      </c>
    </row>
    <row r="67" ht="15">
      <c r="A67" s="45" t="s">
        <v>202</v>
      </c>
    </row>
    <row r="68" ht="15">
      <c r="A68" s="45" t="s">
        <v>203</v>
      </c>
    </row>
    <row r="69" ht="15">
      <c r="A69" s="45"/>
    </row>
    <row r="70" ht="15">
      <c r="A70" s="45" t="s">
        <v>408</v>
      </c>
    </row>
    <row r="71" ht="15">
      <c r="A71" s="45"/>
    </row>
    <row r="72" ht="15">
      <c r="A72" s="45" t="s">
        <v>391</v>
      </c>
    </row>
    <row r="73" ht="15">
      <c r="A73" s="45"/>
    </row>
    <row r="74" ht="15">
      <c r="A74" s="45" t="s">
        <v>392</v>
      </c>
    </row>
    <row r="75" ht="15">
      <c r="A75" s="45"/>
    </row>
    <row r="76" ht="15">
      <c r="A76" s="45" t="s">
        <v>393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L49"/>
  <sheetViews>
    <sheetView workbookViewId="0" topLeftCell="T1">
      <selection activeCell="T2" sqref="T2"/>
    </sheetView>
  </sheetViews>
  <sheetFormatPr defaultColWidth="8.88671875" defaultRowHeight="15"/>
  <cols>
    <col min="1" max="1" width="6.88671875" style="32" customWidth="1"/>
    <col min="2" max="2" width="11.6640625" style="32" customWidth="1"/>
    <col min="3" max="3" width="6.88671875" style="32" customWidth="1"/>
    <col min="4" max="4" width="6.4453125" style="32" hidden="1" customWidth="1"/>
    <col min="5" max="5" width="11.6640625" style="32" customWidth="1"/>
    <col min="6" max="8" width="6.88671875" style="32" customWidth="1"/>
    <col min="9" max="9" width="0" style="33" hidden="1" customWidth="1"/>
    <col min="10" max="11" width="0" style="32" hidden="1" customWidth="1"/>
    <col min="12" max="12" width="10.3359375" style="32" customWidth="1"/>
    <col min="13" max="16" width="6.88671875" style="33" customWidth="1"/>
    <col min="17" max="17" width="10.6640625" style="33" customWidth="1"/>
    <col min="18" max="18" width="6.88671875" style="33" customWidth="1"/>
    <col min="19" max="19" width="8.99609375" style="33" bestFit="1" customWidth="1"/>
    <col min="20" max="20" width="11.4453125" style="33" customWidth="1"/>
    <col min="21" max="22" width="6.88671875" style="32" customWidth="1"/>
    <col min="23" max="23" width="10.6640625" style="32" customWidth="1"/>
    <col min="24" max="39" width="6.88671875" style="32" customWidth="1"/>
    <col min="40" max="46" width="0" style="32" hidden="1" customWidth="1"/>
    <col min="47" max="47" width="6.88671875" style="32" customWidth="1"/>
    <col min="48" max="48" width="0" style="32" hidden="1" customWidth="1"/>
    <col min="49" max="56" width="6.88671875" style="32" customWidth="1"/>
    <col min="57" max="57" width="0" style="32" hidden="1" customWidth="1"/>
    <col min="58" max="58" width="6.88671875" style="32" customWidth="1"/>
    <col min="59" max="59" width="10.99609375" style="32" customWidth="1"/>
    <col min="60" max="60" width="10.4453125" style="32" customWidth="1"/>
    <col min="61" max="62" width="6.88671875" style="32" customWidth="1"/>
    <col min="63" max="63" width="17.99609375" style="32" customWidth="1"/>
    <col min="64" max="16384" width="6.88671875" style="32" customWidth="1"/>
  </cols>
  <sheetData>
    <row r="1" spans="8:20" ht="15" customHeight="1">
      <c r="H1" s="33" t="s">
        <v>226</v>
      </c>
      <c r="M1" s="33" t="s">
        <v>227</v>
      </c>
      <c r="Q1" s="33" t="s">
        <v>228</v>
      </c>
      <c r="T1" s="33" t="s">
        <v>229</v>
      </c>
    </row>
    <row r="2" spans="1:27" ht="15">
      <c r="A2" s="32" t="s">
        <v>230</v>
      </c>
      <c r="B2" s="34" t="s">
        <v>231</v>
      </c>
      <c r="C2" s="32" t="s">
        <v>232</v>
      </c>
      <c r="E2" s="34"/>
      <c r="I2" s="34" t="s">
        <v>233</v>
      </c>
      <c r="L2" s="32" t="s">
        <v>234</v>
      </c>
      <c r="M2" s="33" t="s">
        <v>235</v>
      </c>
      <c r="N2" s="33" t="s">
        <v>236</v>
      </c>
      <c r="O2" s="33" t="s">
        <v>237</v>
      </c>
      <c r="P2" s="33" t="s">
        <v>238</v>
      </c>
      <c r="Q2" s="33" t="s">
        <v>239</v>
      </c>
      <c r="V2" s="32" t="s">
        <v>240</v>
      </c>
      <c r="AA2" s="32" t="s">
        <v>241</v>
      </c>
    </row>
    <row r="3" spans="1:39" ht="15">
      <c r="A3" s="32" t="s">
        <v>242</v>
      </c>
      <c r="B3" s="34" t="s">
        <v>243</v>
      </c>
      <c r="E3" s="32" t="s">
        <v>244</v>
      </c>
      <c r="F3" s="33">
        <f>AVERAGE(F13:F81)</f>
        <v>17.94736842105263</v>
      </c>
      <c r="H3" s="32" t="s">
        <v>244</v>
      </c>
      <c r="I3" s="33">
        <f>AVERAGE(I13:I81)</f>
        <v>0</v>
      </c>
      <c r="L3" s="33">
        <f aca="true" t="shared" si="0" ref="L3:S3">AVERAGE(L13:L81)</f>
        <v>122.78947368421052</v>
      </c>
      <c r="M3" s="33">
        <f t="shared" si="0"/>
        <v>3.8489248047176434</v>
      </c>
      <c r="N3" s="33">
        <f t="shared" si="0"/>
        <v>91.3730283484386</v>
      </c>
      <c r="O3" s="33">
        <f t="shared" si="0"/>
        <v>2.9991582890539736</v>
      </c>
      <c r="P3" s="33">
        <f t="shared" si="0"/>
        <v>1.7788885577898013</v>
      </c>
      <c r="Q3" s="33">
        <f t="shared" si="0"/>
        <v>27.018713450292395</v>
      </c>
      <c r="R3" s="33">
        <f t="shared" si="0"/>
        <v>51.49419191919192</v>
      </c>
      <c r="S3" s="33">
        <f t="shared" si="0"/>
        <v>1.3597744360902255</v>
      </c>
      <c r="T3" s="33" t="s">
        <v>244</v>
      </c>
      <c r="U3" s="33">
        <f aca="true" t="shared" si="1" ref="U3:AM3">AVERAGE(U13:U81)</f>
        <v>4.421052631578948</v>
      </c>
      <c r="V3" s="33">
        <f t="shared" si="1"/>
        <v>3.473684210526316</v>
      </c>
      <c r="W3" s="33">
        <f t="shared" si="1"/>
        <v>0.15789473684210525</v>
      </c>
      <c r="X3" s="33">
        <f t="shared" si="1"/>
        <v>0.3333333333333333</v>
      </c>
      <c r="Y3" s="33">
        <f t="shared" si="1"/>
        <v>0.3684210526315789</v>
      </c>
      <c r="Z3" s="33">
        <f t="shared" si="1"/>
        <v>0.10526315789473684</v>
      </c>
      <c r="AA3" s="33">
        <f t="shared" si="1"/>
        <v>112.63157894736842</v>
      </c>
      <c r="AB3" s="33">
        <f t="shared" si="1"/>
        <v>50.63157894736842</v>
      </c>
      <c r="AC3" s="33">
        <f t="shared" si="1"/>
        <v>35.78947368421053</v>
      </c>
      <c r="AD3" s="33">
        <f t="shared" si="1"/>
        <v>26.210526315789473</v>
      </c>
      <c r="AE3" s="33">
        <f t="shared" si="1"/>
        <v>3.6315789473684212</v>
      </c>
      <c r="AF3" s="33">
        <f t="shared" si="1"/>
        <v>1.6842105263157894</v>
      </c>
      <c r="AG3" s="33">
        <f t="shared" si="1"/>
        <v>1.5263157894736843</v>
      </c>
      <c r="AH3" s="33">
        <f t="shared" si="1"/>
        <v>0.21052631578947367</v>
      </c>
      <c r="AI3" s="33">
        <f t="shared" si="1"/>
        <v>0.21052631578947367</v>
      </c>
      <c r="AJ3" s="33">
        <f t="shared" si="1"/>
        <v>2.1052631578947367</v>
      </c>
      <c r="AK3" s="33">
        <f t="shared" si="1"/>
        <v>2</v>
      </c>
      <c r="AL3" s="33">
        <f t="shared" si="1"/>
        <v>0</v>
      </c>
      <c r="AM3" s="33">
        <f t="shared" si="1"/>
        <v>0.10526315789473684</v>
      </c>
    </row>
    <row r="4" spans="1:39" ht="15">
      <c r="A4" s="35" t="s">
        <v>245</v>
      </c>
      <c r="E4" s="32" t="s">
        <v>246</v>
      </c>
      <c r="F4" s="33">
        <f>MAX(F13:F71)</f>
        <v>40</v>
      </c>
      <c r="H4" s="32" t="s">
        <v>246</v>
      </c>
      <c r="I4" s="33">
        <f>MAX(I13:I71)</f>
        <v>0</v>
      </c>
      <c r="L4" s="33">
        <f aca="true" t="shared" si="2" ref="L4:S4">MAX(L13:L71)</f>
        <v>249</v>
      </c>
      <c r="M4" s="33">
        <f t="shared" si="2"/>
        <v>6.896551724137931</v>
      </c>
      <c r="N4" s="33">
        <f t="shared" si="2"/>
        <v>95.29411764705881</v>
      </c>
      <c r="O4" s="33">
        <f t="shared" si="2"/>
        <v>4.918032786885246</v>
      </c>
      <c r="P4" s="33">
        <f t="shared" si="2"/>
        <v>8</v>
      </c>
      <c r="Q4" s="33">
        <f t="shared" si="2"/>
        <v>48.666666666666664</v>
      </c>
      <c r="R4" s="33">
        <f t="shared" si="2"/>
        <v>142</v>
      </c>
      <c r="S4" s="33">
        <f t="shared" si="2"/>
        <v>3</v>
      </c>
      <c r="T4" s="33" t="s">
        <v>246</v>
      </c>
      <c r="U4" s="33">
        <f aca="true" t="shared" si="3" ref="U4:AM4">MAX(U13:U71)</f>
        <v>9</v>
      </c>
      <c r="V4" s="33">
        <f t="shared" si="3"/>
        <v>7</v>
      </c>
      <c r="W4" s="33">
        <f t="shared" si="3"/>
        <v>1</v>
      </c>
      <c r="X4" s="33">
        <f t="shared" si="3"/>
        <v>2</v>
      </c>
      <c r="Y4" s="33">
        <f t="shared" si="3"/>
        <v>2</v>
      </c>
      <c r="Z4" s="33">
        <f t="shared" si="3"/>
        <v>1</v>
      </c>
      <c r="AA4" s="33">
        <f t="shared" si="3"/>
        <v>233</v>
      </c>
      <c r="AB4" s="33">
        <f t="shared" si="3"/>
        <v>95</v>
      </c>
      <c r="AC4" s="33">
        <f t="shared" si="3"/>
        <v>89</v>
      </c>
      <c r="AD4" s="33">
        <f t="shared" si="3"/>
        <v>50</v>
      </c>
      <c r="AE4" s="33">
        <f t="shared" si="3"/>
        <v>7</v>
      </c>
      <c r="AF4" s="33">
        <f t="shared" si="3"/>
        <v>5</v>
      </c>
      <c r="AG4" s="33">
        <f t="shared" si="3"/>
        <v>5</v>
      </c>
      <c r="AH4" s="33">
        <f t="shared" si="3"/>
        <v>1</v>
      </c>
      <c r="AI4" s="33">
        <f t="shared" si="3"/>
        <v>2</v>
      </c>
      <c r="AJ4" s="33">
        <f t="shared" si="3"/>
        <v>9</v>
      </c>
      <c r="AK4" s="33">
        <f t="shared" si="3"/>
        <v>8</v>
      </c>
      <c r="AL4" s="33">
        <f t="shared" si="3"/>
        <v>0</v>
      </c>
      <c r="AM4" s="33">
        <f t="shared" si="3"/>
        <v>1</v>
      </c>
    </row>
    <row r="5" spans="1:39" ht="15">
      <c r="A5" s="36" t="s">
        <v>247</v>
      </c>
      <c r="E5" s="37" t="s">
        <v>248</v>
      </c>
      <c r="F5" s="33">
        <f>MIN(F13:F71)</f>
        <v>8</v>
      </c>
      <c r="H5" s="37" t="s">
        <v>248</v>
      </c>
      <c r="I5" s="33">
        <f>MIN(I13:I71)</f>
        <v>0</v>
      </c>
      <c r="L5" s="33">
        <f aca="true" t="shared" si="4" ref="L5:S5">MIN(L13:L71)</f>
        <v>29</v>
      </c>
      <c r="M5" s="33">
        <f t="shared" si="4"/>
        <v>1.948051948051948</v>
      </c>
      <c r="N5" s="33">
        <f t="shared" si="4"/>
        <v>85</v>
      </c>
      <c r="O5" s="33">
        <f t="shared" si="4"/>
        <v>1.680672268907563</v>
      </c>
      <c r="P5" s="33">
        <f t="shared" si="4"/>
        <v>0</v>
      </c>
      <c r="Q5" s="33">
        <f t="shared" si="4"/>
        <v>13</v>
      </c>
      <c r="R5" s="33">
        <f t="shared" si="4"/>
        <v>10.625</v>
      </c>
      <c r="S5" s="33">
        <f t="shared" si="4"/>
        <v>0.6</v>
      </c>
      <c r="T5" s="33" t="s">
        <v>248</v>
      </c>
      <c r="U5" s="33">
        <f aca="true" t="shared" si="5" ref="U5:AM5">MIN(U13:U71)</f>
        <v>2</v>
      </c>
      <c r="V5" s="33">
        <f t="shared" si="5"/>
        <v>2</v>
      </c>
      <c r="W5" s="33">
        <f t="shared" si="5"/>
        <v>0</v>
      </c>
      <c r="X5" s="33">
        <f t="shared" si="5"/>
        <v>0</v>
      </c>
      <c r="Y5" s="33">
        <f t="shared" si="5"/>
        <v>0</v>
      </c>
      <c r="Z5" s="33">
        <f t="shared" si="5"/>
        <v>0</v>
      </c>
      <c r="AA5" s="33">
        <f t="shared" si="5"/>
        <v>26</v>
      </c>
      <c r="AB5" s="33">
        <f t="shared" si="5"/>
        <v>13</v>
      </c>
      <c r="AC5" s="33">
        <f t="shared" si="5"/>
        <v>8</v>
      </c>
      <c r="AD5" s="33">
        <f t="shared" si="5"/>
        <v>5</v>
      </c>
      <c r="AE5" s="33">
        <f t="shared" si="5"/>
        <v>1</v>
      </c>
      <c r="AF5" s="33">
        <f t="shared" si="5"/>
        <v>0</v>
      </c>
      <c r="AG5" s="33">
        <f t="shared" si="5"/>
        <v>0</v>
      </c>
      <c r="AH5" s="33">
        <f t="shared" si="5"/>
        <v>0</v>
      </c>
      <c r="AI5" s="33">
        <f t="shared" si="5"/>
        <v>0</v>
      </c>
      <c r="AJ5" s="33">
        <f t="shared" si="5"/>
        <v>0</v>
      </c>
      <c r="AK5" s="33">
        <f t="shared" si="5"/>
        <v>0</v>
      </c>
      <c r="AL5" s="33">
        <f t="shared" si="5"/>
        <v>0</v>
      </c>
      <c r="AM5" s="33">
        <f t="shared" si="5"/>
        <v>0</v>
      </c>
    </row>
    <row r="6" spans="1:39" ht="15">
      <c r="A6" s="38" t="s">
        <v>249</v>
      </c>
      <c r="E6" s="37" t="s">
        <v>250</v>
      </c>
      <c r="F6" s="33">
        <f>STDEV(F13:F72)</f>
        <v>9.419092219827451</v>
      </c>
      <c r="H6" s="37" t="s">
        <v>250</v>
      </c>
      <c r="I6" s="33">
        <f>STDEV(I13:I72)</f>
        <v>0</v>
      </c>
      <c r="L6" s="33">
        <f aca="true" t="shared" si="6" ref="L6:S6">STDEV(L13:L72)</f>
        <v>55.11964657539534</v>
      </c>
      <c r="M6" s="33">
        <f t="shared" si="6"/>
        <v>1.329742045380761</v>
      </c>
      <c r="N6" s="33">
        <f t="shared" si="6"/>
        <v>3.049270596805476</v>
      </c>
      <c r="O6" s="33">
        <f t="shared" si="6"/>
        <v>0.8369329499616607</v>
      </c>
      <c r="P6" s="33">
        <f t="shared" si="6"/>
        <v>2.3048280700713732</v>
      </c>
      <c r="Q6" s="33">
        <f t="shared" si="6"/>
        <v>10.749411763426536</v>
      </c>
      <c r="R6" s="33">
        <f t="shared" si="6"/>
        <v>42.74478201594141</v>
      </c>
      <c r="S6" s="33">
        <f t="shared" si="6"/>
        <v>0.5889064808997097</v>
      </c>
      <c r="T6" s="33" t="s">
        <v>251</v>
      </c>
      <c r="U6" s="33">
        <f aca="true" t="shared" si="7" ref="U6:AM6">STDEV(U13:U72)</f>
        <v>2.0633249723493554</v>
      </c>
      <c r="V6" s="33">
        <f t="shared" si="7"/>
        <v>1.4669856112538153</v>
      </c>
      <c r="W6" s="33">
        <f t="shared" si="7"/>
        <v>0.3746343246326776</v>
      </c>
      <c r="X6" s="33">
        <f t="shared" si="7"/>
        <v>0.6859943405700354</v>
      </c>
      <c r="Y6" s="33">
        <f t="shared" si="7"/>
        <v>0.6839855680567694</v>
      </c>
      <c r="Z6" s="33">
        <f t="shared" si="7"/>
        <v>0.3153017676423058</v>
      </c>
      <c r="AA6" s="33">
        <f t="shared" si="7"/>
        <v>52.06642181580902</v>
      </c>
      <c r="AB6" s="33">
        <f t="shared" si="7"/>
        <v>20.55131930427336</v>
      </c>
      <c r="AC6" s="33">
        <f t="shared" si="7"/>
        <v>21.20424210013024</v>
      </c>
      <c r="AD6" s="33">
        <f t="shared" si="7"/>
        <v>12.752250116780788</v>
      </c>
      <c r="AE6" s="33">
        <f t="shared" si="7"/>
        <v>1.7704527454797003</v>
      </c>
      <c r="AF6" s="33">
        <f t="shared" si="7"/>
        <v>1.6684201302412267</v>
      </c>
      <c r="AG6" s="33">
        <f t="shared" si="7"/>
        <v>1.3485968449808852</v>
      </c>
      <c r="AH6" s="33">
        <f t="shared" si="7"/>
        <v>0.4188539082916955</v>
      </c>
      <c r="AI6" s="33">
        <f t="shared" si="7"/>
        <v>0.5353033790313108</v>
      </c>
      <c r="AJ6" s="33">
        <f t="shared" si="7"/>
        <v>2.786769073917864</v>
      </c>
      <c r="AK6" s="33">
        <f t="shared" si="7"/>
        <v>2.5385910352879693</v>
      </c>
      <c r="AL6" s="33">
        <f t="shared" si="7"/>
        <v>0</v>
      </c>
      <c r="AM6" s="33">
        <f t="shared" si="7"/>
        <v>0.3153017676423058</v>
      </c>
    </row>
    <row r="7" spans="1:39" ht="15">
      <c r="A7" s="38" t="s">
        <v>252</v>
      </c>
      <c r="E7" s="37" t="s">
        <v>253</v>
      </c>
      <c r="F7" s="33">
        <f>100*(F6/F3)</f>
        <v>52.48174550636997</v>
      </c>
      <c r="H7" s="37" t="s">
        <v>253</v>
      </c>
      <c r="I7" s="33" t="e">
        <f>100*(I6/I3)</f>
        <v>#DIV/0!</v>
      </c>
      <c r="L7" s="33">
        <f aca="true" t="shared" si="8" ref="L7:S7">100*(L6/L3)</f>
        <v>44.88955357618995</v>
      </c>
      <c r="M7" s="33">
        <f t="shared" si="8"/>
        <v>34.54840280981563</v>
      </c>
      <c r="N7" s="33">
        <f t="shared" si="8"/>
        <v>3.3371670523795034</v>
      </c>
      <c r="O7" s="33">
        <f t="shared" si="8"/>
        <v>27.90559448016513</v>
      </c>
      <c r="P7" s="33">
        <f t="shared" si="8"/>
        <v>129.56562455688797</v>
      </c>
      <c r="Q7" s="33">
        <f t="shared" si="8"/>
        <v>39.78506150266088</v>
      </c>
      <c r="R7" s="33">
        <f t="shared" si="8"/>
        <v>83.00893833428698</v>
      </c>
      <c r="S7" s="33">
        <f t="shared" si="8"/>
        <v>43.309130196108036</v>
      </c>
      <c r="T7" s="33" t="s">
        <v>254</v>
      </c>
      <c r="U7" s="33">
        <f aca="true" t="shared" si="9" ref="U7:AM7">100*(U6/U3)</f>
        <v>46.670445803140176</v>
      </c>
      <c r="V7" s="33">
        <f t="shared" si="9"/>
        <v>42.231403960337104</v>
      </c>
      <c r="W7" s="33">
        <f t="shared" si="9"/>
        <v>237.26840560069581</v>
      </c>
      <c r="X7" s="33">
        <f t="shared" si="9"/>
        <v>205.79830217101062</v>
      </c>
      <c r="Y7" s="33">
        <f t="shared" si="9"/>
        <v>185.65322561540884</v>
      </c>
      <c r="Z7" s="33">
        <f t="shared" si="9"/>
        <v>299.5366792601905</v>
      </c>
      <c r="AA7" s="33">
        <f t="shared" si="9"/>
        <v>46.227196939269696</v>
      </c>
      <c r="AB7" s="33">
        <f t="shared" si="9"/>
        <v>40.58992378182889</v>
      </c>
      <c r="AC7" s="33">
        <f t="shared" si="9"/>
        <v>59.24714704448155</v>
      </c>
      <c r="AD7" s="33">
        <f t="shared" si="9"/>
        <v>48.6531630961516</v>
      </c>
      <c r="AE7" s="33">
        <f t="shared" si="9"/>
        <v>48.75159733929609</v>
      </c>
      <c r="AF7" s="33">
        <f t="shared" si="9"/>
        <v>99.06244523307284</v>
      </c>
      <c r="AG7" s="33">
        <f t="shared" si="9"/>
        <v>88.35634501598902</v>
      </c>
      <c r="AH7" s="33">
        <f t="shared" si="9"/>
        <v>198.95560643855538</v>
      </c>
      <c r="AI7" s="33">
        <f t="shared" si="9"/>
        <v>254.2691050398726</v>
      </c>
      <c r="AJ7" s="33">
        <f t="shared" si="9"/>
        <v>132.37153101109854</v>
      </c>
      <c r="AK7" s="33">
        <f t="shared" si="9"/>
        <v>126.92955176439847</v>
      </c>
      <c r="AL7" s="33" t="e">
        <f t="shared" si="9"/>
        <v>#DIV/0!</v>
      </c>
      <c r="AM7" s="33">
        <f t="shared" si="9"/>
        <v>299.5366792601905</v>
      </c>
    </row>
    <row r="8" spans="1:17" ht="15">
      <c r="A8" s="38" t="s">
        <v>255</v>
      </c>
      <c r="C8" s="37"/>
      <c r="Q8" s="33" t="s">
        <v>228</v>
      </c>
    </row>
    <row r="9" spans="1:3" ht="15">
      <c r="A9" s="38" t="s">
        <v>256</v>
      </c>
      <c r="C9" s="37"/>
    </row>
    <row r="10" spans="1:3" ht="15">
      <c r="A10" s="36" t="s">
        <v>257</v>
      </c>
      <c r="C10" s="37"/>
    </row>
    <row r="11" spans="1:39" ht="15">
      <c r="A11" s="38" t="s">
        <v>258</v>
      </c>
      <c r="C11" s="37"/>
      <c r="S11" s="33" t="s">
        <v>259</v>
      </c>
      <c r="U11" s="32">
        <f aca="true" t="shared" si="10" ref="U11:AM11">SUM(U13:U32)</f>
        <v>84</v>
      </c>
      <c r="V11" s="32">
        <f t="shared" si="10"/>
        <v>66</v>
      </c>
      <c r="W11" s="32">
        <f t="shared" si="10"/>
        <v>3</v>
      </c>
      <c r="X11" s="32">
        <f t="shared" si="10"/>
        <v>6</v>
      </c>
      <c r="Y11" s="32">
        <f t="shared" si="10"/>
        <v>7</v>
      </c>
      <c r="Z11" s="32">
        <f t="shared" si="10"/>
        <v>2</v>
      </c>
      <c r="AA11" s="32">
        <f t="shared" si="10"/>
        <v>2140</v>
      </c>
      <c r="AB11" s="32">
        <f t="shared" si="10"/>
        <v>962</v>
      </c>
      <c r="AC11" s="32">
        <f t="shared" si="10"/>
        <v>680</v>
      </c>
      <c r="AD11" s="32">
        <f t="shared" si="10"/>
        <v>498</v>
      </c>
      <c r="AE11" s="32">
        <f t="shared" si="10"/>
        <v>69</v>
      </c>
      <c r="AF11" s="32">
        <f t="shared" si="10"/>
        <v>32</v>
      </c>
      <c r="AG11" s="32">
        <f t="shared" si="10"/>
        <v>29</v>
      </c>
      <c r="AH11" s="32">
        <f t="shared" si="10"/>
        <v>4</v>
      </c>
      <c r="AI11" s="32">
        <f t="shared" si="10"/>
        <v>4</v>
      </c>
      <c r="AJ11" s="32">
        <f t="shared" si="10"/>
        <v>40</v>
      </c>
      <c r="AK11" s="32">
        <f t="shared" si="10"/>
        <v>38</v>
      </c>
      <c r="AL11" s="32">
        <f t="shared" si="10"/>
        <v>0</v>
      </c>
      <c r="AM11" s="32">
        <f t="shared" si="10"/>
        <v>2</v>
      </c>
    </row>
    <row r="12" spans="1:64" s="41" customFormat="1" ht="15">
      <c r="A12" s="39" t="s">
        <v>260</v>
      </c>
      <c r="B12" s="39" t="s">
        <v>261</v>
      </c>
      <c r="C12" s="39" t="s">
        <v>262</v>
      </c>
      <c r="D12" s="39" t="s">
        <v>263</v>
      </c>
      <c r="E12" s="39" t="s">
        <v>261</v>
      </c>
      <c r="F12" s="39" t="s">
        <v>264</v>
      </c>
      <c r="G12" s="39" t="s">
        <v>265</v>
      </c>
      <c r="H12" s="39" t="s">
        <v>266</v>
      </c>
      <c r="I12" s="40" t="s">
        <v>233</v>
      </c>
      <c r="J12" s="39" t="s">
        <v>267</v>
      </c>
      <c r="K12" s="39" t="s">
        <v>242</v>
      </c>
      <c r="L12" s="39" t="s">
        <v>268</v>
      </c>
      <c r="M12" s="40" t="s">
        <v>269</v>
      </c>
      <c r="N12" s="40" t="s">
        <v>270</v>
      </c>
      <c r="O12" s="40" t="s">
        <v>271</v>
      </c>
      <c r="P12" s="40" t="s">
        <v>272</v>
      </c>
      <c r="Q12" s="40" t="s">
        <v>239</v>
      </c>
      <c r="R12" s="40" t="s">
        <v>273</v>
      </c>
      <c r="S12" s="40" t="s">
        <v>274</v>
      </c>
      <c r="T12" s="40"/>
      <c r="U12" s="39" t="s">
        <v>275</v>
      </c>
      <c r="V12" s="39" t="s">
        <v>276</v>
      </c>
      <c r="W12" s="39" t="s">
        <v>277</v>
      </c>
      <c r="X12" s="39" t="s">
        <v>278</v>
      </c>
      <c r="Y12" s="39" t="s">
        <v>279</v>
      </c>
      <c r="Z12" s="39" t="s">
        <v>280</v>
      </c>
      <c r="AA12" s="39" t="s">
        <v>281</v>
      </c>
      <c r="AB12" s="39" t="s">
        <v>282</v>
      </c>
      <c r="AC12" s="39" t="s">
        <v>283</v>
      </c>
      <c r="AD12" s="39" t="s">
        <v>284</v>
      </c>
      <c r="AE12" s="39" t="s">
        <v>285</v>
      </c>
      <c r="AF12" s="39" t="s">
        <v>286</v>
      </c>
      <c r="AG12" s="39" t="s">
        <v>287</v>
      </c>
      <c r="AH12" s="39" t="s">
        <v>288</v>
      </c>
      <c r="AI12" s="39" t="s">
        <v>289</v>
      </c>
      <c r="AJ12" s="39" t="s">
        <v>290</v>
      </c>
      <c r="AK12" s="39" t="s">
        <v>291</v>
      </c>
      <c r="AL12" s="39" t="s">
        <v>292</v>
      </c>
      <c r="AM12" s="39" t="s">
        <v>293</v>
      </c>
      <c r="AN12" s="39" t="s">
        <v>294</v>
      </c>
      <c r="AO12" s="39" t="s">
        <v>295</v>
      </c>
      <c r="AP12" s="39" t="s">
        <v>296</v>
      </c>
      <c r="AQ12" s="39" t="s">
        <v>297</v>
      </c>
      <c r="AR12" s="39" t="s">
        <v>298</v>
      </c>
      <c r="AS12" s="39" t="s">
        <v>299</v>
      </c>
      <c r="AT12" s="39" t="s">
        <v>300</v>
      </c>
      <c r="AU12" s="39" t="s">
        <v>301</v>
      </c>
      <c r="AV12" s="39" t="s">
        <v>302</v>
      </c>
      <c r="AW12" s="39" t="s">
        <v>303</v>
      </c>
      <c r="AX12" s="39" t="s">
        <v>304</v>
      </c>
      <c r="AY12" s="39" t="s">
        <v>305</v>
      </c>
      <c r="AZ12" s="39" t="s">
        <v>306</v>
      </c>
      <c r="BA12" s="39" t="s">
        <v>307</v>
      </c>
      <c r="BB12" s="39" t="s">
        <v>308</v>
      </c>
      <c r="BC12" s="39" t="s">
        <v>309</v>
      </c>
      <c r="BD12" s="39" t="s">
        <v>310</v>
      </c>
      <c r="BE12" s="39" t="s">
        <v>311</v>
      </c>
      <c r="BF12" s="39" t="s">
        <v>312</v>
      </c>
      <c r="BG12" s="39" t="s">
        <v>313</v>
      </c>
      <c r="BH12" s="39" t="s">
        <v>314</v>
      </c>
      <c r="BI12" s="39" t="s">
        <v>315</v>
      </c>
      <c r="BJ12" s="39" t="s">
        <v>316</v>
      </c>
      <c r="BK12" s="39" t="s">
        <v>317</v>
      </c>
      <c r="BL12" s="39" t="s">
        <v>318</v>
      </c>
    </row>
    <row r="13" spans="1:64" ht="25.5">
      <c r="A13" s="42">
        <v>138</v>
      </c>
      <c r="B13" s="34" t="s">
        <v>319</v>
      </c>
      <c r="C13" s="34" t="s">
        <v>261</v>
      </c>
      <c r="D13" s="42">
        <v>1712</v>
      </c>
      <c r="E13" s="34" t="s">
        <v>319</v>
      </c>
      <c r="F13" s="42">
        <v>20</v>
      </c>
      <c r="G13" s="34" t="s">
        <v>320</v>
      </c>
      <c r="H13" s="34" t="s">
        <v>321</v>
      </c>
      <c r="I13" s="43">
        <v>0</v>
      </c>
      <c r="J13" s="34" t="s">
        <v>231</v>
      </c>
      <c r="K13" s="34" t="s">
        <v>243</v>
      </c>
      <c r="L13" s="34">
        <f aca="true" t="shared" si="11" ref="L13:L31">U13+AA13+AE13+AJ13</f>
        <v>125</v>
      </c>
      <c r="M13" s="44">
        <f>100*(U13/L13)</f>
        <v>4</v>
      </c>
      <c r="N13" s="44">
        <f aca="true" t="shared" si="12" ref="N13:N31">100*(AA13/L13)</f>
        <v>92.80000000000001</v>
      </c>
      <c r="O13" s="44">
        <f aca="true" t="shared" si="13" ref="O13:O31">100*(AE13/L13)</f>
        <v>2.4</v>
      </c>
      <c r="P13" s="44">
        <f aca="true" t="shared" si="14" ref="P13:P31">100*(AJ13/L13)</f>
        <v>0.8</v>
      </c>
      <c r="Q13" s="44">
        <f aca="true" t="shared" si="15" ref="Q13:Q31">AA13/U13</f>
        <v>23.2</v>
      </c>
      <c r="R13" s="44">
        <f>AA13/AJ13</f>
        <v>116</v>
      </c>
      <c r="S13" s="44">
        <f aca="true" t="shared" si="16" ref="S13:S31">U13/AE13</f>
        <v>1.6666666666666667</v>
      </c>
      <c r="T13" s="34" t="s">
        <v>319</v>
      </c>
      <c r="U13" s="34">
        <f aca="true" t="shared" si="17" ref="U13:U31">SUM(V13:Z13)</f>
        <v>5</v>
      </c>
      <c r="V13" s="42">
        <v>4</v>
      </c>
      <c r="W13" s="42">
        <v>1</v>
      </c>
      <c r="X13" s="42">
        <v>0</v>
      </c>
      <c r="Y13" s="42">
        <v>0</v>
      </c>
      <c r="Z13" s="42">
        <v>0</v>
      </c>
      <c r="AA13" s="42">
        <f aca="true" t="shared" si="18" ref="AA13:AA31">SUM(AB13:AD13)</f>
        <v>116</v>
      </c>
      <c r="AB13" s="42">
        <v>58</v>
      </c>
      <c r="AC13" s="42">
        <v>28</v>
      </c>
      <c r="AD13" s="42">
        <v>30</v>
      </c>
      <c r="AE13" s="42">
        <f aca="true" t="shared" si="19" ref="AE13:AE31">SUM(AF13:AI13)</f>
        <v>3</v>
      </c>
      <c r="AF13" s="42">
        <v>3</v>
      </c>
      <c r="AG13" s="42">
        <v>0</v>
      </c>
      <c r="AH13" s="42">
        <v>0</v>
      </c>
      <c r="AI13" s="42">
        <v>0</v>
      </c>
      <c r="AJ13" s="42">
        <f aca="true" t="shared" si="20" ref="AJ13:AJ31">SUM(AK13:AM13)</f>
        <v>1</v>
      </c>
      <c r="AK13" s="42">
        <v>1</v>
      </c>
      <c r="AL13" s="42">
        <v>0</v>
      </c>
      <c r="AM13" s="42">
        <v>0</v>
      </c>
      <c r="AN13" s="42" t="b">
        <v>0</v>
      </c>
      <c r="AO13" s="42" t="b">
        <v>0</v>
      </c>
      <c r="AP13" s="42" t="b">
        <v>0</v>
      </c>
      <c r="AQ13" s="42" t="b">
        <v>0</v>
      </c>
      <c r="AR13" s="42" t="b">
        <v>0</v>
      </c>
      <c r="AS13" s="42" t="b">
        <v>0</v>
      </c>
      <c r="AT13" s="42" t="b">
        <v>0</v>
      </c>
      <c r="AU13" s="42" t="b">
        <v>1</v>
      </c>
      <c r="AV13" s="42" t="b">
        <v>0</v>
      </c>
      <c r="AW13" s="42" t="b">
        <v>0</v>
      </c>
      <c r="AX13" s="42" t="b">
        <v>1</v>
      </c>
      <c r="AY13" s="42" t="b">
        <v>1</v>
      </c>
      <c r="AZ13" s="42" t="b">
        <v>0</v>
      </c>
      <c r="BA13" s="42" t="b">
        <v>1</v>
      </c>
      <c r="BB13" s="42" t="b">
        <v>1</v>
      </c>
      <c r="BC13" s="42" t="b">
        <v>1</v>
      </c>
      <c r="BD13" s="42" t="b">
        <v>1</v>
      </c>
      <c r="BE13" s="42" t="b">
        <v>0</v>
      </c>
      <c r="BF13" s="42" t="b">
        <v>0</v>
      </c>
      <c r="BG13" s="42" t="b">
        <v>0</v>
      </c>
      <c r="BH13" s="42">
        <v>0</v>
      </c>
      <c r="BI13" s="42">
        <v>6</v>
      </c>
      <c r="BJ13" s="34" t="s">
        <v>322</v>
      </c>
      <c r="BK13" s="34" t="s">
        <v>323</v>
      </c>
      <c r="BL13" s="34" t="s">
        <v>324</v>
      </c>
    </row>
    <row r="14" spans="1:64" ht="25.5">
      <c r="A14" s="42">
        <v>131</v>
      </c>
      <c r="B14" s="34" t="s">
        <v>325</v>
      </c>
      <c r="C14" s="34" t="s">
        <v>261</v>
      </c>
      <c r="D14" s="42">
        <v>1712</v>
      </c>
      <c r="E14" s="34" t="s">
        <v>325</v>
      </c>
      <c r="F14" s="42">
        <v>12</v>
      </c>
      <c r="G14" s="34" t="s">
        <v>320</v>
      </c>
      <c r="H14" s="34" t="s">
        <v>326</v>
      </c>
      <c r="I14" s="43">
        <v>0</v>
      </c>
      <c r="J14" s="34" t="s">
        <v>231</v>
      </c>
      <c r="K14" s="34" t="s">
        <v>243</v>
      </c>
      <c r="L14" s="34">
        <f t="shared" si="11"/>
        <v>29</v>
      </c>
      <c r="M14" s="44">
        <f aca="true" t="shared" si="21" ref="M14:M31">100*(U14/$L14)</f>
        <v>6.896551724137931</v>
      </c>
      <c r="N14" s="44">
        <f t="shared" si="12"/>
        <v>89.65517241379311</v>
      </c>
      <c r="O14" s="44">
        <f t="shared" si="13"/>
        <v>3.4482758620689653</v>
      </c>
      <c r="P14" s="44">
        <f t="shared" si="14"/>
        <v>0</v>
      </c>
      <c r="Q14" s="44">
        <f t="shared" si="15"/>
        <v>13</v>
      </c>
      <c r="R14" s="44"/>
      <c r="S14" s="44">
        <f t="shared" si="16"/>
        <v>2</v>
      </c>
      <c r="T14" s="34" t="s">
        <v>325</v>
      </c>
      <c r="U14" s="34">
        <f t="shared" si="17"/>
        <v>2</v>
      </c>
      <c r="V14" s="42">
        <v>2</v>
      </c>
      <c r="W14" s="42">
        <v>0</v>
      </c>
      <c r="X14" s="42">
        <v>0</v>
      </c>
      <c r="Y14" s="42">
        <v>0</v>
      </c>
      <c r="Z14" s="42">
        <v>0</v>
      </c>
      <c r="AA14" s="42">
        <f t="shared" si="18"/>
        <v>26</v>
      </c>
      <c r="AB14" s="42">
        <v>13</v>
      </c>
      <c r="AC14" s="42">
        <v>8</v>
      </c>
      <c r="AD14" s="42">
        <v>5</v>
      </c>
      <c r="AE14" s="42">
        <f t="shared" si="19"/>
        <v>1</v>
      </c>
      <c r="AF14" s="42">
        <v>1</v>
      </c>
      <c r="AG14" s="42">
        <v>0</v>
      </c>
      <c r="AH14" s="42">
        <v>0</v>
      </c>
      <c r="AI14" s="42">
        <v>0</v>
      </c>
      <c r="AJ14" s="42">
        <f t="shared" si="20"/>
        <v>0</v>
      </c>
      <c r="AK14" s="42">
        <v>0</v>
      </c>
      <c r="AL14" s="42">
        <v>0</v>
      </c>
      <c r="AM14" s="42">
        <v>0</v>
      </c>
      <c r="AN14" s="42" t="b">
        <v>0</v>
      </c>
      <c r="AO14" s="42" t="b">
        <v>0</v>
      </c>
      <c r="AP14" s="42" t="b">
        <v>0</v>
      </c>
      <c r="AQ14" s="42" t="b">
        <v>0</v>
      </c>
      <c r="AR14" s="42" t="b">
        <v>0</v>
      </c>
      <c r="AS14" s="42" t="b">
        <v>0</v>
      </c>
      <c r="AT14" s="42" t="b">
        <v>0</v>
      </c>
      <c r="AU14" s="42" t="b">
        <v>0</v>
      </c>
      <c r="AV14" s="42" t="b">
        <v>0</v>
      </c>
      <c r="AW14" s="42" t="b">
        <v>0</v>
      </c>
      <c r="AX14" s="42" t="b">
        <v>1</v>
      </c>
      <c r="AY14" s="42" t="b">
        <v>1</v>
      </c>
      <c r="AZ14" s="42" t="b">
        <v>0</v>
      </c>
      <c r="BA14" s="42" t="b">
        <v>0</v>
      </c>
      <c r="BB14" s="42" t="b">
        <v>1</v>
      </c>
      <c r="BC14" s="42" t="b">
        <v>0</v>
      </c>
      <c r="BD14" s="42" t="b">
        <v>0</v>
      </c>
      <c r="BE14" s="42" t="b">
        <v>0</v>
      </c>
      <c r="BF14" s="42" t="b">
        <v>0</v>
      </c>
      <c r="BG14" s="42" t="b">
        <v>0</v>
      </c>
      <c r="BH14" s="42">
        <v>0</v>
      </c>
      <c r="BI14" s="42">
        <v>4</v>
      </c>
      <c r="BJ14" s="34" t="s">
        <v>322</v>
      </c>
      <c r="BK14" s="34" t="s">
        <v>323</v>
      </c>
      <c r="BL14" s="34" t="s">
        <v>324</v>
      </c>
    </row>
    <row r="15" spans="1:64" ht="25.5">
      <c r="A15" s="42">
        <v>132</v>
      </c>
      <c r="B15" s="34" t="s">
        <v>327</v>
      </c>
      <c r="C15" s="34" t="s">
        <v>261</v>
      </c>
      <c r="D15" s="42">
        <v>1712</v>
      </c>
      <c r="E15" s="34" t="s">
        <v>327</v>
      </c>
      <c r="F15" s="42">
        <v>12</v>
      </c>
      <c r="G15" s="34" t="s">
        <v>320</v>
      </c>
      <c r="H15" s="34" t="s">
        <v>328</v>
      </c>
      <c r="I15" s="43">
        <v>0</v>
      </c>
      <c r="J15" s="34" t="s">
        <v>231</v>
      </c>
      <c r="K15" s="34" t="s">
        <v>243</v>
      </c>
      <c r="L15" s="34">
        <f t="shared" si="11"/>
        <v>122</v>
      </c>
      <c r="M15" s="44">
        <f t="shared" si="21"/>
        <v>4.918032786885246</v>
      </c>
      <c r="N15" s="44">
        <f t="shared" si="12"/>
        <v>90.1639344262295</v>
      </c>
      <c r="O15" s="44">
        <f t="shared" si="13"/>
        <v>4.918032786885246</v>
      </c>
      <c r="P15" s="44">
        <f t="shared" si="14"/>
        <v>0</v>
      </c>
      <c r="Q15" s="44">
        <f t="shared" si="15"/>
        <v>18.333333333333332</v>
      </c>
      <c r="R15" s="44"/>
      <c r="S15" s="44">
        <f t="shared" si="16"/>
        <v>1</v>
      </c>
      <c r="T15" s="34" t="s">
        <v>327</v>
      </c>
      <c r="U15" s="34">
        <f t="shared" si="17"/>
        <v>6</v>
      </c>
      <c r="V15" s="42">
        <v>4</v>
      </c>
      <c r="W15" s="42">
        <v>0</v>
      </c>
      <c r="X15" s="42">
        <v>0</v>
      </c>
      <c r="Y15" s="42">
        <v>1</v>
      </c>
      <c r="Z15" s="42">
        <v>1</v>
      </c>
      <c r="AA15" s="42">
        <f t="shared" si="18"/>
        <v>110</v>
      </c>
      <c r="AB15" s="42">
        <v>50</v>
      </c>
      <c r="AC15" s="42">
        <v>33</v>
      </c>
      <c r="AD15" s="42">
        <v>27</v>
      </c>
      <c r="AE15" s="42">
        <f t="shared" si="19"/>
        <v>6</v>
      </c>
      <c r="AF15" s="42">
        <v>5</v>
      </c>
      <c r="AG15" s="42">
        <v>1</v>
      </c>
      <c r="AH15" s="42">
        <v>0</v>
      </c>
      <c r="AI15" s="42">
        <v>0</v>
      </c>
      <c r="AJ15" s="42">
        <f t="shared" si="20"/>
        <v>0</v>
      </c>
      <c r="AK15" s="42">
        <v>0</v>
      </c>
      <c r="AL15" s="42">
        <v>0</v>
      </c>
      <c r="AM15" s="42">
        <v>0</v>
      </c>
      <c r="AN15" s="42" t="b">
        <v>0</v>
      </c>
      <c r="AO15" s="42" t="b">
        <v>0</v>
      </c>
      <c r="AP15" s="42" t="b">
        <v>0</v>
      </c>
      <c r="AQ15" s="42" t="b">
        <v>0</v>
      </c>
      <c r="AR15" s="42" t="b">
        <v>0</v>
      </c>
      <c r="AS15" s="42" t="b">
        <v>0</v>
      </c>
      <c r="AT15" s="42" t="b">
        <v>0</v>
      </c>
      <c r="AU15" s="42" t="b">
        <v>0</v>
      </c>
      <c r="AV15" s="42" t="b">
        <v>0</v>
      </c>
      <c r="AW15" s="42" t="b">
        <v>0</v>
      </c>
      <c r="AX15" s="42" t="b">
        <v>1</v>
      </c>
      <c r="AY15" s="42" t="b">
        <v>1</v>
      </c>
      <c r="AZ15" s="42" t="b">
        <v>0</v>
      </c>
      <c r="BA15" s="42" t="b">
        <v>0</v>
      </c>
      <c r="BB15" s="42" t="b">
        <v>0</v>
      </c>
      <c r="BC15" s="42" t="b">
        <v>1</v>
      </c>
      <c r="BD15" s="42" t="b">
        <v>1</v>
      </c>
      <c r="BE15" s="42" t="b">
        <v>0</v>
      </c>
      <c r="BF15" s="42" t="b">
        <v>0</v>
      </c>
      <c r="BG15" s="42" t="b">
        <v>0</v>
      </c>
      <c r="BH15" s="42">
        <v>0</v>
      </c>
      <c r="BI15" s="42">
        <v>4</v>
      </c>
      <c r="BJ15" s="34" t="s">
        <v>322</v>
      </c>
      <c r="BK15" s="34" t="s">
        <v>323</v>
      </c>
      <c r="BL15" s="34" t="s">
        <v>324</v>
      </c>
    </row>
    <row r="16" spans="1:64" ht="25.5">
      <c r="A16" s="42">
        <v>133</v>
      </c>
      <c r="B16" s="34" t="s">
        <v>329</v>
      </c>
      <c r="C16" s="34" t="s">
        <v>261</v>
      </c>
      <c r="D16" s="42">
        <v>1712</v>
      </c>
      <c r="E16" s="34" t="s">
        <v>329</v>
      </c>
      <c r="F16" s="42">
        <v>12</v>
      </c>
      <c r="G16" s="34" t="s">
        <v>320</v>
      </c>
      <c r="H16" s="34" t="s">
        <v>330</v>
      </c>
      <c r="I16" s="43">
        <v>0</v>
      </c>
      <c r="J16" s="34" t="s">
        <v>231</v>
      </c>
      <c r="K16" s="34" t="s">
        <v>243</v>
      </c>
      <c r="L16" s="34">
        <f t="shared" si="11"/>
        <v>119</v>
      </c>
      <c r="M16" s="44">
        <f t="shared" si="21"/>
        <v>5.042016806722689</v>
      </c>
      <c r="N16" s="44">
        <f t="shared" si="12"/>
        <v>89.07563025210085</v>
      </c>
      <c r="O16" s="44">
        <f t="shared" si="13"/>
        <v>1.680672268907563</v>
      </c>
      <c r="P16" s="44">
        <f t="shared" si="14"/>
        <v>4.201680672268908</v>
      </c>
      <c r="Q16" s="44">
        <f t="shared" si="15"/>
        <v>17.666666666666668</v>
      </c>
      <c r="R16" s="44">
        <f>AA16/AJ16</f>
        <v>21.2</v>
      </c>
      <c r="S16" s="44">
        <f t="shared" si="16"/>
        <v>3</v>
      </c>
      <c r="T16" s="34" t="s">
        <v>329</v>
      </c>
      <c r="U16" s="34">
        <f t="shared" si="17"/>
        <v>6</v>
      </c>
      <c r="V16" s="42">
        <v>4</v>
      </c>
      <c r="W16" s="42">
        <v>0</v>
      </c>
      <c r="X16" s="42">
        <v>2</v>
      </c>
      <c r="Y16" s="42">
        <v>0</v>
      </c>
      <c r="Z16" s="42">
        <v>0</v>
      </c>
      <c r="AA16" s="42">
        <f t="shared" si="18"/>
        <v>106</v>
      </c>
      <c r="AB16" s="42">
        <v>53</v>
      </c>
      <c r="AC16" s="42">
        <v>18</v>
      </c>
      <c r="AD16" s="42">
        <v>35</v>
      </c>
      <c r="AE16" s="42">
        <f t="shared" si="19"/>
        <v>2</v>
      </c>
      <c r="AF16" s="42">
        <v>0</v>
      </c>
      <c r="AG16" s="42">
        <v>2</v>
      </c>
      <c r="AH16" s="42">
        <v>0</v>
      </c>
      <c r="AI16" s="42">
        <v>0</v>
      </c>
      <c r="AJ16" s="42">
        <f t="shared" si="20"/>
        <v>5</v>
      </c>
      <c r="AK16" s="42">
        <v>5</v>
      </c>
      <c r="AL16" s="42">
        <v>0</v>
      </c>
      <c r="AM16" s="42">
        <v>0</v>
      </c>
      <c r="AN16" s="42" t="b">
        <v>0</v>
      </c>
      <c r="AO16" s="42" t="b">
        <v>0</v>
      </c>
      <c r="AP16" s="42" t="b">
        <v>0</v>
      </c>
      <c r="AQ16" s="42" t="b">
        <v>0</v>
      </c>
      <c r="AR16" s="42" t="b">
        <v>0</v>
      </c>
      <c r="AS16" s="42" t="b">
        <v>0</v>
      </c>
      <c r="AT16" s="42" t="b">
        <v>0</v>
      </c>
      <c r="AU16" s="42" t="b">
        <v>0</v>
      </c>
      <c r="AV16" s="42" t="b">
        <v>0</v>
      </c>
      <c r="AW16" s="42" t="b">
        <v>0</v>
      </c>
      <c r="AX16" s="42" t="b">
        <v>1</v>
      </c>
      <c r="AY16" s="42" t="b">
        <v>1</v>
      </c>
      <c r="AZ16" s="42" t="b">
        <v>0</v>
      </c>
      <c r="BA16" s="42" t="b">
        <v>0</v>
      </c>
      <c r="BB16" s="42" t="b">
        <v>0</v>
      </c>
      <c r="BC16" s="42" t="b">
        <v>1</v>
      </c>
      <c r="BD16" s="42" t="b">
        <v>0</v>
      </c>
      <c r="BE16" s="42" t="b">
        <v>0</v>
      </c>
      <c r="BF16" s="42" t="b">
        <v>0</v>
      </c>
      <c r="BG16" s="42" t="b">
        <v>0</v>
      </c>
      <c r="BH16" s="42">
        <v>0</v>
      </c>
      <c r="BI16" s="42">
        <v>6</v>
      </c>
      <c r="BJ16" s="34" t="s">
        <v>322</v>
      </c>
      <c r="BK16" s="34" t="s">
        <v>323</v>
      </c>
      <c r="BL16" s="34" t="s">
        <v>324</v>
      </c>
    </row>
    <row r="17" spans="1:64" ht="25.5">
      <c r="A17" s="42">
        <v>134</v>
      </c>
      <c r="B17" s="34" t="s">
        <v>331</v>
      </c>
      <c r="C17" s="34" t="s">
        <v>261</v>
      </c>
      <c r="D17" s="42">
        <v>1712</v>
      </c>
      <c r="E17" s="34" t="s">
        <v>331</v>
      </c>
      <c r="F17" s="42">
        <v>30</v>
      </c>
      <c r="G17" s="34" t="s">
        <v>332</v>
      </c>
      <c r="H17" s="34" t="s">
        <v>333</v>
      </c>
      <c r="I17" s="43">
        <v>0</v>
      </c>
      <c r="J17" s="34" t="s">
        <v>231</v>
      </c>
      <c r="K17" s="34" t="s">
        <v>243</v>
      </c>
      <c r="L17" s="34">
        <f t="shared" si="11"/>
        <v>100</v>
      </c>
      <c r="M17" s="44">
        <f t="shared" si="21"/>
        <v>4</v>
      </c>
      <c r="N17" s="44">
        <f t="shared" si="12"/>
        <v>85</v>
      </c>
      <c r="O17" s="44">
        <f t="shared" si="13"/>
        <v>3</v>
      </c>
      <c r="P17" s="44">
        <f t="shared" si="14"/>
        <v>8</v>
      </c>
      <c r="Q17" s="44">
        <f t="shared" si="15"/>
        <v>21.25</v>
      </c>
      <c r="R17" s="44">
        <f>AA17/AJ17</f>
        <v>10.625</v>
      </c>
      <c r="S17" s="44">
        <f t="shared" si="16"/>
        <v>1.3333333333333333</v>
      </c>
      <c r="T17" s="34" t="s">
        <v>331</v>
      </c>
      <c r="U17" s="34">
        <f t="shared" si="17"/>
        <v>4</v>
      </c>
      <c r="V17" s="42">
        <v>4</v>
      </c>
      <c r="W17" s="42">
        <v>0</v>
      </c>
      <c r="X17" s="42">
        <v>0</v>
      </c>
      <c r="Y17" s="42">
        <v>0</v>
      </c>
      <c r="Z17" s="42">
        <v>0</v>
      </c>
      <c r="AA17" s="42">
        <f t="shared" si="18"/>
        <v>85</v>
      </c>
      <c r="AB17" s="42">
        <v>40</v>
      </c>
      <c r="AC17" s="42">
        <v>25</v>
      </c>
      <c r="AD17" s="42">
        <v>20</v>
      </c>
      <c r="AE17" s="42">
        <f t="shared" si="19"/>
        <v>3</v>
      </c>
      <c r="AF17" s="42">
        <v>1</v>
      </c>
      <c r="AG17" s="42">
        <v>2</v>
      </c>
      <c r="AH17" s="42">
        <v>0</v>
      </c>
      <c r="AI17" s="42">
        <v>0</v>
      </c>
      <c r="AJ17" s="42">
        <f t="shared" si="20"/>
        <v>8</v>
      </c>
      <c r="AK17" s="42">
        <v>7</v>
      </c>
      <c r="AL17" s="42">
        <v>0</v>
      </c>
      <c r="AM17" s="42">
        <v>1</v>
      </c>
      <c r="AN17" s="42" t="b">
        <v>0</v>
      </c>
      <c r="AO17" s="42" t="b">
        <v>0</v>
      </c>
      <c r="AP17" s="42" t="b">
        <v>0</v>
      </c>
      <c r="AQ17" s="42" t="b">
        <v>0</v>
      </c>
      <c r="AR17" s="42" t="b">
        <v>0</v>
      </c>
      <c r="AS17" s="42" t="b">
        <v>0</v>
      </c>
      <c r="AT17" s="42" t="b">
        <v>0</v>
      </c>
      <c r="AU17" s="42" t="b">
        <v>0</v>
      </c>
      <c r="AV17" s="42" t="b">
        <v>0</v>
      </c>
      <c r="AW17" s="42" t="b">
        <v>0</v>
      </c>
      <c r="AX17" s="42" t="b">
        <v>1</v>
      </c>
      <c r="AY17" s="42" t="b">
        <v>1</v>
      </c>
      <c r="AZ17" s="42" t="b">
        <v>0</v>
      </c>
      <c r="BA17" s="42" t="b">
        <v>0</v>
      </c>
      <c r="BB17" s="42" t="b">
        <v>1</v>
      </c>
      <c r="BC17" s="42" t="b">
        <v>1</v>
      </c>
      <c r="BD17" s="42" t="b">
        <v>0</v>
      </c>
      <c r="BE17" s="42" t="b">
        <v>0</v>
      </c>
      <c r="BF17" s="42" t="b">
        <v>0</v>
      </c>
      <c r="BG17" s="42" t="b">
        <v>0</v>
      </c>
      <c r="BH17" s="42">
        <v>0</v>
      </c>
      <c r="BI17" s="42">
        <v>7</v>
      </c>
      <c r="BJ17" s="34" t="s">
        <v>322</v>
      </c>
      <c r="BK17" s="34" t="s">
        <v>323</v>
      </c>
      <c r="BL17" s="34" t="s">
        <v>324</v>
      </c>
    </row>
    <row r="18" spans="1:64" ht="25.5">
      <c r="A18" s="42">
        <v>135</v>
      </c>
      <c r="B18" s="34" t="s">
        <v>334</v>
      </c>
      <c r="C18" s="34" t="s">
        <v>335</v>
      </c>
      <c r="D18" s="42">
        <v>1712</v>
      </c>
      <c r="E18" s="34" t="s">
        <v>334</v>
      </c>
      <c r="F18" s="42">
        <v>30</v>
      </c>
      <c r="G18" s="34" t="s">
        <v>320</v>
      </c>
      <c r="H18" s="34" t="s">
        <v>336</v>
      </c>
      <c r="I18" s="43">
        <v>0</v>
      </c>
      <c r="J18" s="34" t="s">
        <v>231</v>
      </c>
      <c r="K18" s="34" t="s">
        <v>243</v>
      </c>
      <c r="L18" s="34">
        <f t="shared" si="11"/>
        <v>162</v>
      </c>
      <c r="M18" s="44">
        <f t="shared" si="21"/>
        <v>4.938271604938271</v>
      </c>
      <c r="N18" s="44">
        <f t="shared" si="12"/>
        <v>92.5925925925926</v>
      </c>
      <c r="O18" s="44">
        <f t="shared" si="13"/>
        <v>2.4691358024691357</v>
      </c>
      <c r="P18" s="44">
        <f t="shared" si="14"/>
        <v>0</v>
      </c>
      <c r="Q18" s="44">
        <f t="shared" si="15"/>
        <v>18.75</v>
      </c>
      <c r="R18" s="44"/>
      <c r="S18" s="44">
        <f t="shared" si="16"/>
        <v>2</v>
      </c>
      <c r="T18" s="34" t="s">
        <v>334</v>
      </c>
      <c r="U18" s="34">
        <f t="shared" si="17"/>
        <v>8</v>
      </c>
      <c r="V18" s="42">
        <f>4+2</f>
        <v>6</v>
      </c>
      <c r="W18" s="42">
        <v>0</v>
      </c>
      <c r="X18" s="42">
        <v>0</v>
      </c>
      <c r="Y18" s="42">
        <v>2</v>
      </c>
      <c r="Z18" s="42">
        <v>0</v>
      </c>
      <c r="AA18" s="42">
        <f t="shared" si="18"/>
        <v>150</v>
      </c>
      <c r="AB18" s="42">
        <f>48+22</f>
        <v>70</v>
      </c>
      <c r="AC18" s="42">
        <f>36+14</f>
        <v>50</v>
      </c>
      <c r="AD18" s="42">
        <f>16+14</f>
        <v>30</v>
      </c>
      <c r="AE18" s="42">
        <f t="shared" si="19"/>
        <v>4</v>
      </c>
      <c r="AF18" s="42">
        <f>3+1</f>
        <v>4</v>
      </c>
      <c r="AG18" s="42">
        <v>0</v>
      </c>
      <c r="AH18" s="42">
        <v>0</v>
      </c>
      <c r="AI18" s="42">
        <v>0</v>
      </c>
      <c r="AJ18" s="42">
        <f t="shared" si="20"/>
        <v>0</v>
      </c>
      <c r="AK18" s="42">
        <v>0</v>
      </c>
      <c r="AL18" s="42">
        <v>0</v>
      </c>
      <c r="AM18" s="42">
        <v>0</v>
      </c>
      <c r="AN18" s="42" t="b">
        <v>0</v>
      </c>
      <c r="AO18" s="42" t="b">
        <v>0</v>
      </c>
      <c r="AP18" s="42" t="b">
        <v>0</v>
      </c>
      <c r="AQ18" s="42" t="b">
        <v>0</v>
      </c>
      <c r="AR18" s="42" t="b">
        <v>0</v>
      </c>
      <c r="AS18" s="42" t="b">
        <v>0</v>
      </c>
      <c r="AT18" s="42" t="b">
        <v>0</v>
      </c>
      <c r="AU18" s="42" t="b">
        <v>0</v>
      </c>
      <c r="AV18" s="42" t="b">
        <v>0</v>
      </c>
      <c r="AW18" s="42" t="b">
        <v>0</v>
      </c>
      <c r="AX18" s="42" t="b">
        <v>1</v>
      </c>
      <c r="AY18" s="42" t="b">
        <v>1</v>
      </c>
      <c r="AZ18" s="42" t="b">
        <v>0</v>
      </c>
      <c r="BA18" s="42" t="b">
        <v>1</v>
      </c>
      <c r="BB18" s="42" t="b">
        <v>1</v>
      </c>
      <c r="BC18" s="42" t="b">
        <v>1</v>
      </c>
      <c r="BD18" s="42" t="b">
        <v>0</v>
      </c>
      <c r="BE18" s="42" t="b">
        <v>0</v>
      </c>
      <c r="BF18" s="42" t="b">
        <v>1</v>
      </c>
      <c r="BG18" s="42" t="b">
        <v>0</v>
      </c>
      <c r="BH18" s="42">
        <v>0</v>
      </c>
      <c r="BI18" s="42">
        <v>8</v>
      </c>
      <c r="BJ18" s="34" t="s">
        <v>322</v>
      </c>
      <c r="BK18" s="34" t="s">
        <v>323</v>
      </c>
      <c r="BL18" s="34" t="s">
        <v>324</v>
      </c>
    </row>
    <row r="19" spans="1:64" ht="25.5">
      <c r="A19" s="42">
        <v>137</v>
      </c>
      <c r="B19" s="34" t="s">
        <v>337</v>
      </c>
      <c r="C19" s="34" t="s">
        <v>261</v>
      </c>
      <c r="D19" s="42">
        <v>1712</v>
      </c>
      <c r="E19" s="34" t="s">
        <v>337</v>
      </c>
      <c r="F19" s="42">
        <v>8</v>
      </c>
      <c r="G19" s="34" t="s">
        <v>320</v>
      </c>
      <c r="H19" s="34" t="s">
        <v>338</v>
      </c>
      <c r="I19" s="43">
        <v>0</v>
      </c>
      <c r="J19" s="34" t="s">
        <v>231</v>
      </c>
      <c r="K19" s="34" t="s">
        <v>243</v>
      </c>
      <c r="L19" s="34">
        <f t="shared" si="11"/>
        <v>85</v>
      </c>
      <c r="M19" s="44">
        <f t="shared" si="21"/>
        <v>2.3529411764705883</v>
      </c>
      <c r="N19" s="44">
        <f t="shared" si="12"/>
        <v>95.29411764705881</v>
      </c>
      <c r="O19" s="44">
        <f t="shared" si="13"/>
        <v>2.3529411764705883</v>
      </c>
      <c r="P19" s="44">
        <f t="shared" si="14"/>
        <v>0</v>
      </c>
      <c r="Q19" s="44">
        <f t="shared" si="15"/>
        <v>40.5</v>
      </c>
      <c r="R19" s="44"/>
      <c r="S19" s="44">
        <f t="shared" si="16"/>
        <v>1</v>
      </c>
      <c r="T19" s="34" t="s">
        <v>337</v>
      </c>
      <c r="U19" s="34">
        <f t="shared" si="17"/>
        <v>2</v>
      </c>
      <c r="V19" s="42">
        <v>2</v>
      </c>
      <c r="W19" s="42">
        <v>0</v>
      </c>
      <c r="X19" s="42">
        <v>0</v>
      </c>
      <c r="Y19" s="42">
        <v>0</v>
      </c>
      <c r="Z19" s="42">
        <v>0</v>
      </c>
      <c r="AA19" s="42">
        <f t="shared" si="18"/>
        <v>81</v>
      </c>
      <c r="AB19" s="42">
        <v>40</v>
      </c>
      <c r="AC19" s="42">
        <v>21</v>
      </c>
      <c r="AD19" s="42">
        <v>20</v>
      </c>
      <c r="AE19" s="42">
        <f t="shared" si="19"/>
        <v>2</v>
      </c>
      <c r="AF19" s="42">
        <v>1</v>
      </c>
      <c r="AG19" s="42">
        <v>1</v>
      </c>
      <c r="AH19" s="42">
        <v>0</v>
      </c>
      <c r="AI19" s="42">
        <v>0</v>
      </c>
      <c r="AJ19" s="42">
        <f t="shared" si="20"/>
        <v>0</v>
      </c>
      <c r="AK19" s="42">
        <v>0</v>
      </c>
      <c r="AL19" s="42">
        <v>0</v>
      </c>
      <c r="AM19" s="42">
        <v>0</v>
      </c>
      <c r="AN19" s="42" t="b">
        <v>0</v>
      </c>
      <c r="AO19" s="42" t="b">
        <v>0</v>
      </c>
      <c r="AP19" s="42" t="b">
        <v>0</v>
      </c>
      <c r="AQ19" s="42" t="b">
        <v>0</v>
      </c>
      <c r="AR19" s="42" t="b">
        <v>0</v>
      </c>
      <c r="AS19" s="42" t="b">
        <v>0</v>
      </c>
      <c r="AT19" s="42" t="b">
        <v>0</v>
      </c>
      <c r="AU19" s="42" t="b">
        <v>1</v>
      </c>
      <c r="AV19" s="42" t="b">
        <v>0</v>
      </c>
      <c r="AW19" s="42" t="b">
        <v>0</v>
      </c>
      <c r="AX19" s="42" t="b">
        <v>1</v>
      </c>
      <c r="AY19" s="42" t="b">
        <v>1</v>
      </c>
      <c r="AZ19" s="42" t="b">
        <v>0</v>
      </c>
      <c r="BA19" s="42" t="b">
        <v>1</v>
      </c>
      <c r="BB19" s="42" t="b">
        <v>1</v>
      </c>
      <c r="BC19" s="42" t="b">
        <v>0</v>
      </c>
      <c r="BD19" s="42" t="b">
        <v>0</v>
      </c>
      <c r="BE19" s="42" t="b">
        <v>0</v>
      </c>
      <c r="BF19" s="42" t="b">
        <v>0</v>
      </c>
      <c r="BG19" s="42" t="b">
        <v>0</v>
      </c>
      <c r="BH19" s="42">
        <v>0</v>
      </c>
      <c r="BI19" s="42">
        <v>4</v>
      </c>
      <c r="BJ19" s="34" t="s">
        <v>322</v>
      </c>
      <c r="BK19" s="34" t="s">
        <v>323</v>
      </c>
      <c r="BL19" s="34" t="s">
        <v>324</v>
      </c>
    </row>
    <row r="20" spans="1:64" ht="25.5">
      <c r="A20" s="42">
        <v>140</v>
      </c>
      <c r="B20" s="34" t="s">
        <v>339</v>
      </c>
      <c r="C20" s="34" t="s">
        <v>261</v>
      </c>
      <c r="D20" s="42">
        <v>1712</v>
      </c>
      <c r="E20" s="34" t="s">
        <v>339</v>
      </c>
      <c r="F20" s="42">
        <v>10</v>
      </c>
      <c r="G20" s="34" t="s">
        <v>320</v>
      </c>
      <c r="H20" s="34" t="s">
        <v>340</v>
      </c>
      <c r="I20" s="43">
        <v>0</v>
      </c>
      <c r="J20" s="34" t="s">
        <v>231</v>
      </c>
      <c r="K20" s="34" t="s">
        <v>243</v>
      </c>
      <c r="L20" s="34">
        <f t="shared" si="11"/>
        <v>59</v>
      </c>
      <c r="M20" s="44">
        <f t="shared" si="21"/>
        <v>5.084745762711865</v>
      </c>
      <c r="N20" s="44">
        <f t="shared" si="12"/>
        <v>89.83050847457628</v>
      </c>
      <c r="O20" s="44">
        <f t="shared" si="13"/>
        <v>3.389830508474576</v>
      </c>
      <c r="P20" s="44">
        <f t="shared" si="14"/>
        <v>1.694915254237288</v>
      </c>
      <c r="Q20" s="44">
        <f t="shared" si="15"/>
        <v>17.666666666666668</v>
      </c>
      <c r="R20" s="44">
        <f>AA20/AJ20</f>
        <v>53</v>
      </c>
      <c r="S20" s="44">
        <f t="shared" si="16"/>
        <v>1.5</v>
      </c>
      <c r="T20" s="34" t="s">
        <v>339</v>
      </c>
      <c r="U20" s="34">
        <f t="shared" si="17"/>
        <v>3</v>
      </c>
      <c r="V20" s="42">
        <v>2</v>
      </c>
      <c r="W20" s="42">
        <v>1</v>
      </c>
      <c r="X20" s="42">
        <v>0</v>
      </c>
      <c r="Y20" s="42">
        <v>0</v>
      </c>
      <c r="Z20" s="42">
        <v>0</v>
      </c>
      <c r="AA20" s="42">
        <f t="shared" si="18"/>
        <v>53</v>
      </c>
      <c r="AB20" s="42">
        <v>28</v>
      </c>
      <c r="AC20" s="42">
        <v>10</v>
      </c>
      <c r="AD20" s="42">
        <v>15</v>
      </c>
      <c r="AE20" s="42">
        <f t="shared" si="19"/>
        <v>2</v>
      </c>
      <c r="AF20" s="42">
        <v>0</v>
      </c>
      <c r="AG20" s="42">
        <v>2</v>
      </c>
      <c r="AH20" s="42">
        <v>0</v>
      </c>
      <c r="AI20" s="42">
        <v>0</v>
      </c>
      <c r="AJ20" s="42">
        <f t="shared" si="20"/>
        <v>1</v>
      </c>
      <c r="AK20" s="42">
        <v>1</v>
      </c>
      <c r="AL20" s="42">
        <v>0</v>
      </c>
      <c r="AM20" s="42">
        <v>0</v>
      </c>
      <c r="AN20" s="42" t="b">
        <v>0</v>
      </c>
      <c r="AO20" s="42" t="b">
        <v>0</v>
      </c>
      <c r="AP20" s="42" t="b">
        <v>0</v>
      </c>
      <c r="AQ20" s="42" t="b">
        <v>0</v>
      </c>
      <c r="AR20" s="42" t="b">
        <v>0</v>
      </c>
      <c r="AS20" s="42" t="b">
        <v>0</v>
      </c>
      <c r="AT20" s="42" t="b">
        <v>0</v>
      </c>
      <c r="AU20" s="42" t="b">
        <v>0</v>
      </c>
      <c r="AV20" s="42" t="b">
        <v>0</v>
      </c>
      <c r="AW20" s="42" t="b">
        <v>0</v>
      </c>
      <c r="AX20" s="42" t="b">
        <v>1</v>
      </c>
      <c r="AY20" s="42" t="b">
        <v>1</v>
      </c>
      <c r="AZ20" s="42" t="b">
        <v>0</v>
      </c>
      <c r="BA20" s="42" t="b">
        <v>0</v>
      </c>
      <c r="BB20" s="42" t="b">
        <v>1</v>
      </c>
      <c r="BC20" s="42" t="b">
        <v>1</v>
      </c>
      <c r="BD20" s="42" t="b">
        <v>0</v>
      </c>
      <c r="BE20" s="42" t="b">
        <v>0</v>
      </c>
      <c r="BF20" s="42" t="b">
        <v>0</v>
      </c>
      <c r="BG20" s="42" t="b">
        <v>0</v>
      </c>
      <c r="BH20" s="42">
        <v>0</v>
      </c>
      <c r="BI20" s="42">
        <v>2</v>
      </c>
      <c r="BJ20" s="34" t="s">
        <v>322</v>
      </c>
      <c r="BK20" s="34" t="s">
        <v>323</v>
      </c>
      <c r="BL20" s="34" t="s">
        <v>324</v>
      </c>
    </row>
    <row r="21" spans="1:64" ht="25.5">
      <c r="A21" s="42">
        <v>141</v>
      </c>
      <c r="B21" s="34" t="s">
        <v>341</v>
      </c>
      <c r="C21" s="34" t="s">
        <v>261</v>
      </c>
      <c r="D21" s="42">
        <v>1712</v>
      </c>
      <c r="E21" s="34" t="s">
        <v>341</v>
      </c>
      <c r="F21" s="42">
        <v>12</v>
      </c>
      <c r="G21" s="34" t="s">
        <v>320</v>
      </c>
      <c r="H21" s="34" t="s">
        <v>342</v>
      </c>
      <c r="I21" s="43">
        <v>0</v>
      </c>
      <c r="J21" s="34" t="s">
        <v>231</v>
      </c>
      <c r="K21" s="34" t="s">
        <v>243</v>
      </c>
      <c r="L21" s="34">
        <f t="shared" si="11"/>
        <v>45</v>
      </c>
      <c r="M21" s="44">
        <f t="shared" si="21"/>
        <v>4.444444444444445</v>
      </c>
      <c r="N21" s="44">
        <f t="shared" si="12"/>
        <v>93.33333333333333</v>
      </c>
      <c r="O21" s="44">
        <f t="shared" si="13"/>
        <v>2.2222222222222223</v>
      </c>
      <c r="P21" s="44">
        <f t="shared" si="14"/>
        <v>0</v>
      </c>
      <c r="Q21" s="44">
        <f t="shared" si="15"/>
        <v>21</v>
      </c>
      <c r="R21" s="44"/>
      <c r="S21" s="44">
        <f t="shared" si="16"/>
        <v>2</v>
      </c>
      <c r="T21" s="34" t="s">
        <v>341</v>
      </c>
      <c r="U21" s="34">
        <f t="shared" si="17"/>
        <v>2</v>
      </c>
      <c r="V21" s="42">
        <v>2</v>
      </c>
      <c r="W21" s="42">
        <v>0</v>
      </c>
      <c r="X21" s="42">
        <v>0</v>
      </c>
      <c r="Y21" s="42">
        <v>0</v>
      </c>
      <c r="Z21" s="42">
        <v>0</v>
      </c>
      <c r="AA21" s="42">
        <f t="shared" si="18"/>
        <v>42</v>
      </c>
      <c r="AB21" s="42">
        <v>19</v>
      </c>
      <c r="AC21" s="42">
        <v>11</v>
      </c>
      <c r="AD21" s="42">
        <v>12</v>
      </c>
      <c r="AE21" s="42">
        <f t="shared" si="19"/>
        <v>1</v>
      </c>
      <c r="AF21" s="42">
        <v>1</v>
      </c>
      <c r="AG21" s="42">
        <v>0</v>
      </c>
      <c r="AH21" s="42">
        <v>0</v>
      </c>
      <c r="AI21" s="42">
        <v>0</v>
      </c>
      <c r="AJ21" s="42">
        <f t="shared" si="20"/>
        <v>0</v>
      </c>
      <c r="AK21" s="42">
        <v>0</v>
      </c>
      <c r="AL21" s="42">
        <v>0</v>
      </c>
      <c r="AM21" s="42">
        <v>0</v>
      </c>
      <c r="AN21" s="42" t="b">
        <v>0</v>
      </c>
      <c r="AO21" s="42" t="b">
        <v>0</v>
      </c>
      <c r="AP21" s="42" t="b">
        <v>0</v>
      </c>
      <c r="AQ21" s="42" t="b">
        <v>0</v>
      </c>
      <c r="AR21" s="42" t="b">
        <v>0</v>
      </c>
      <c r="AS21" s="42" t="b">
        <v>0</v>
      </c>
      <c r="AT21" s="42" t="b">
        <v>0</v>
      </c>
      <c r="AU21" s="42" t="b">
        <v>0</v>
      </c>
      <c r="AV21" s="42" t="b">
        <v>0</v>
      </c>
      <c r="AW21" s="42" t="b">
        <v>0</v>
      </c>
      <c r="AX21" s="42" t="b">
        <v>1</v>
      </c>
      <c r="AY21" s="42" t="b">
        <v>1</v>
      </c>
      <c r="AZ21" s="42" t="b">
        <v>0</v>
      </c>
      <c r="BA21" s="42" t="b">
        <v>0</v>
      </c>
      <c r="BB21" s="42" t="b">
        <v>1</v>
      </c>
      <c r="BC21" s="42" t="b">
        <v>0</v>
      </c>
      <c r="BD21" s="42" t="b">
        <v>0</v>
      </c>
      <c r="BE21" s="42" t="b">
        <v>0</v>
      </c>
      <c r="BF21" s="42" t="b">
        <v>0</v>
      </c>
      <c r="BG21" s="42" t="b">
        <v>0</v>
      </c>
      <c r="BH21" s="42">
        <v>0</v>
      </c>
      <c r="BI21" s="42">
        <v>1</v>
      </c>
      <c r="BJ21" s="34" t="s">
        <v>322</v>
      </c>
      <c r="BK21" s="34" t="s">
        <v>323</v>
      </c>
      <c r="BL21" s="34" t="s">
        <v>324</v>
      </c>
    </row>
    <row r="22" spans="1:64" ht="25.5">
      <c r="A22" s="42">
        <v>124</v>
      </c>
      <c r="B22" s="34" t="s">
        <v>343</v>
      </c>
      <c r="C22" s="34" t="s">
        <v>344</v>
      </c>
      <c r="D22" s="42">
        <v>1712</v>
      </c>
      <c r="E22" s="34" t="s">
        <v>343</v>
      </c>
      <c r="F22" s="42">
        <v>20</v>
      </c>
      <c r="G22" s="34" t="s">
        <v>320</v>
      </c>
      <c r="H22" s="34" t="s">
        <v>345</v>
      </c>
      <c r="I22" s="43">
        <v>0</v>
      </c>
      <c r="J22" s="34" t="s">
        <v>231</v>
      </c>
      <c r="K22" s="34" t="s">
        <v>243</v>
      </c>
      <c r="L22" s="34">
        <f t="shared" si="11"/>
        <v>154</v>
      </c>
      <c r="M22" s="44">
        <f t="shared" si="21"/>
        <v>1.948051948051948</v>
      </c>
      <c r="N22" s="44">
        <f t="shared" si="12"/>
        <v>94.8051948051948</v>
      </c>
      <c r="O22" s="44">
        <f t="shared" si="13"/>
        <v>3.2467532467532463</v>
      </c>
      <c r="P22" s="44">
        <f t="shared" si="14"/>
        <v>0</v>
      </c>
      <c r="Q22" s="44">
        <f t="shared" si="15"/>
        <v>48.666666666666664</v>
      </c>
      <c r="R22" s="44"/>
      <c r="S22" s="44">
        <f t="shared" si="16"/>
        <v>0.6</v>
      </c>
      <c r="T22" s="34" t="s">
        <v>343</v>
      </c>
      <c r="U22" s="34">
        <f t="shared" si="17"/>
        <v>3</v>
      </c>
      <c r="V22" s="42">
        <v>3</v>
      </c>
      <c r="W22" s="42">
        <v>0</v>
      </c>
      <c r="X22" s="42">
        <v>0</v>
      </c>
      <c r="Y22" s="42">
        <v>0</v>
      </c>
      <c r="Z22" s="42">
        <v>0</v>
      </c>
      <c r="AA22" s="42">
        <f t="shared" si="18"/>
        <v>146</v>
      </c>
      <c r="AB22" s="42">
        <v>70</v>
      </c>
      <c r="AC22" s="42">
        <v>46</v>
      </c>
      <c r="AD22" s="42">
        <v>30</v>
      </c>
      <c r="AE22" s="42">
        <f t="shared" si="19"/>
        <v>5</v>
      </c>
      <c r="AF22" s="42">
        <v>4</v>
      </c>
      <c r="AG22" s="42">
        <v>1</v>
      </c>
      <c r="AH22" s="42">
        <v>0</v>
      </c>
      <c r="AI22" s="42">
        <v>0</v>
      </c>
      <c r="AJ22" s="42">
        <f t="shared" si="20"/>
        <v>0</v>
      </c>
      <c r="AK22" s="42">
        <v>0</v>
      </c>
      <c r="AL22" s="42">
        <v>0</v>
      </c>
      <c r="AM22" s="42">
        <v>0</v>
      </c>
      <c r="AN22" s="42" t="b">
        <v>0</v>
      </c>
      <c r="AO22" s="42" t="b">
        <v>0</v>
      </c>
      <c r="AP22" s="42" t="b">
        <v>0</v>
      </c>
      <c r="AQ22" s="42" t="b">
        <v>0</v>
      </c>
      <c r="AR22" s="42" t="b">
        <v>0</v>
      </c>
      <c r="AS22" s="42" t="b">
        <v>0</v>
      </c>
      <c r="AT22" s="42" t="b">
        <v>0</v>
      </c>
      <c r="AU22" s="42" t="b">
        <v>0</v>
      </c>
      <c r="AV22" s="42" t="b">
        <v>0</v>
      </c>
      <c r="AW22" s="42" t="b">
        <v>0</v>
      </c>
      <c r="AX22" s="42" t="b">
        <v>1</v>
      </c>
      <c r="AY22" s="42" t="b">
        <v>1</v>
      </c>
      <c r="AZ22" s="42" t="b">
        <v>0</v>
      </c>
      <c r="BA22" s="42" t="b">
        <v>0</v>
      </c>
      <c r="BB22" s="42" t="b">
        <v>0</v>
      </c>
      <c r="BC22" s="42" t="b">
        <v>1</v>
      </c>
      <c r="BD22" s="42" t="b">
        <v>0</v>
      </c>
      <c r="BE22" s="42" t="b">
        <v>0</v>
      </c>
      <c r="BF22" s="42" t="b">
        <v>0</v>
      </c>
      <c r="BG22" s="42" t="b">
        <v>0</v>
      </c>
      <c r="BH22" s="42">
        <v>0</v>
      </c>
      <c r="BI22" s="42">
        <v>4</v>
      </c>
      <c r="BJ22" s="34" t="s">
        <v>322</v>
      </c>
      <c r="BK22" s="34" t="s">
        <v>323</v>
      </c>
      <c r="BL22" s="34" t="s">
        <v>324</v>
      </c>
    </row>
    <row r="23" spans="1:64" ht="25.5">
      <c r="A23" s="42">
        <v>130</v>
      </c>
      <c r="B23" s="34" t="s">
        <v>346</v>
      </c>
      <c r="C23" s="34" t="s">
        <v>261</v>
      </c>
      <c r="D23" s="42">
        <v>1712</v>
      </c>
      <c r="E23" s="34" t="s">
        <v>346</v>
      </c>
      <c r="F23" s="42">
        <v>8</v>
      </c>
      <c r="G23" s="34" t="s">
        <v>320</v>
      </c>
      <c r="H23" s="34" t="s">
        <v>347</v>
      </c>
      <c r="I23" s="43">
        <v>0</v>
      </c>
      <c r="J23" s="34" t="s">
        <v>231</v>
      </c>
      <c r="K23" s="34" t="s">
        <v>243</v>
      </c>
      <c r="L23" s="34">
        <f t="shared" si="11"/>
        <v>87</v>
      </c>
      <c r="M23" s="44">
        <f t="shared" si="21"/>
        <v>3.4482758620689653</v>
      </c>
      <c r="N23" s="44">
        <f t="shared" si="12"/>
        <v>89.65517241379311</v>
      </c>
      <c r="O23" s="44">
        <f t="shared" si="13"/>
        <v>3.4482758620689653</v>
      </c>
      <c r="P23" s="44">
        <f t="shared" si="14"/>
        <v>3.4482758620689653</v>
      </c>
      <c r="Q23" s="44">
        <f t="shared" si="15"/>
        <v>26</v>
      </c>
      <c r="R23" s="44">
        <f>AA23/AJ23</f>
        <v>26</v>
      </c>
      <c r="S23" s="44">
        <f t="shared" si="16"/>
        <v>1</v>
      </c>
      <c r="T23" s="34" t="s">
        <v>346</v>
      </c>
      <c r="U23" s="34">
        <f t="shared" si="17"/>
        <v>3</v>
      </c>
      <c r="V23" s="42">
        <v>2</v>
      </c>
      <c r="W23" s="42">
        <v>0</v>
      </c>
      <c r="X23" s="42">
        <v>1</v>
      </c>
      <c r="Y23" s="42">
        <v>0</v>
      </c>
      <c r="Z23" s="42">
        <v>0</v>
      </c>
      <c r="AA23" s="42">
        <f t="shared" si="18"/>
        <v>78</v>
      </c>
      <c r="AB23" s="42">
        <v>36</v>
      </c>
      <c r="AC23" s="42">
        <v>21</v>
      </c>
      <c r="AD23" s="42">
        <v>21</v>
      </c>
      <c r="AE23" s="42">
        <f t="shared" si="19"/>
        <v>3</v>
      </c>
      <c r="AF23" s="42">
        <v>0</v>
      </c>
      <c r="AG23" s="42">
        <v>2</v>
      </c>
      <c r="AH23" s="42">
        <v>1</v>
      </c>
      <c r="AI23" s="42">
        <v>0</v>
      </c>
      <c r="AJ23" s="42">
        <f t="shared" si="20"/>
        <v>3</v>
      </c>
      <c r="AK23" s="42">
        <v>3</v>
      </c>
      <c r="AL23" s="42">
        <v>0</v>
      </c>
      <c r="AM23" s="42">
        <v>0</v>
      </c>
      <c r="AN23" s="42" t="b">
        <v>0</v>
      </c>
      <c r="AO23" s="42" t="b">
        <v>0</v>
      </c>
      <c r="AP23" s="42" t="b">
        <v>0</v>
      </c>
      <c r="AQ23" s="42" t="b">
        <v>0</v>
      </c>
      <c r="AR23" s="42" t="b">
        <v>0</v>
      </c>
      <c r="AS23" s="42" t="b">
        <v>0</v>
      </c>
      <c r="AT23" s="42" t="b">
        <v>0</v>
      </c>
      <c r="AU23" s="42" t="b">
        <v>0</v>
      </c>
      <c r="AV23" s="42" t="b">
        <v>0</v>
      </c>
      <c r="AW23" s="42" t="b">
        <v>0</v>
      </c>
      <c r="AX23" s="42" t="b">
        <v>1</v>
      </c>
      <c r="AY23" s="42" t="b">
        <v>1</v>
      </c>
      <c r="AZ23" s="42" t="b">
        <v>0</v>
      </c>
      <c r="BA23" s="42" t="b">
        <v>0</v>
      </c>
      <c r="BB23" s="42" t="b">
        <v>0</v>
      </c>
      <c r="BC23" s="42" t="b">
        <v>1</v>
      </c>
      <c r="BD23" s="42" t="b">
        <v>0</v>
      </c>
      <c r="BE23" s="42" t="b">
        <v>0</v>
      </c>
      <c r="BF23" s="42" t="b">
        <v>0</v>
      </c>
      <c r="BG23" s="42" t="b">
        <v>0</v>
      </c>
      <c r="BH23" s="42">
        <v>0</v>
      </c>
      <c r="BI23" s="42">
        <v>2</v>
      </c>
      <c r="BJ23" s="34" t="s">
        <v>322</v>
      </c>
      <c r="BK23" s="34" t="s">
        <v>323</v>
      </c>
      <c r="BL23" s="34" t="s">
        <v>324</v>
      </c>
    </row>
    <row r="24" spans="1:64" ht="25.5">
      <c r="A24" s="42">
        <v>142</v>
      </c>
      <c r="B24" s="34" t="s">
        <v>348</v>
      </c>
      <c r="C24" s="34" t="s">
        <v>261</v>
      </c>
      <c r="D24" s="42">
        <v>1712</v>
      </c>
      <c r="E24" s="34" t="s">
        <v>348</v>
      </c>
      <c r="F24" s="42">
        <v>12</v>
      </c>
      <c r="G24" s="34" t="s">
        <v>320</v>
      </c>
      <c r="H24" s="34" t="s">
        <v>349</v>
      </c>
      <c r="I24" s="43">
        <v>0</v>
      </c>
      <c r="J24" s="34" t="s">
        <v>231</v>
      </c>
      <c r="K24" s="34" t="s">
        <v>243</v>
      </c>
      <c r="L24" s="34">
        <f t="shared" si="11"/>
        <v>77</v>
      </c>
      <c r="M24" s="44">
        <f t="shared" si="21"/>
        <v>2.5974025974025974</v>
      </c>
      <c r="N24" s="44">
        <f t="shared" si="12"/>
        <v>93.5064935064935</v>
      </c>
      <c r="O24" s="44">
        <f t="shared" si="13"/>
        <v>2.5974025974025974</v>
      </c>
      <c r="P24" s="44">
        <f t="shared" si="14"/>
        <v>1.2987012987012987</v>
      </c>
      <c r="Q24" s="44">
        <f t="shared" si="15"/>
        <v>36</v>
      </c>
      <c r="R24" s="44">
        <f>AA24/AJ24</f>
        <v>72</v>
      </c>
      <c r="S24" s="44">
        <f t="shared" si="16"/>
        <v>1</v>
      </c>
      <c r="T24" s="34" t="s">
        <v>348</v>
      </c>
      <c r="U24" s="34">
        <f t="shared" si="17"/>
        <v>2</v>
      </c>
      <c r="V24" s="42">
        <v>2</v>
      </c>
      <c r="W24" s="42">
        <v>0</v>
      </c>
      <c r="X24" s="42">
        <v>0</v>
      </c>
      <c r="Y24" s="42">
        <v>0</v>
      </c>
      <c r="Z24" s="42">
        <v>0</v>
      </c>
      <c r="AA24" s="42">
        <f t="shared" si="18"/>
        <v>72</v>
      </c>
      <c r="AB24" s="42">
        <v>36</v>
      </c>
      <c r="AC24" s="42">
        <v>24</v>
      </c>
      <c r="AD24" s="42">
        <v>12</v>
      </c>
      <c r="AE24" s="42">
        <f t="shared" si="19"/>
        <v>2</v>
      </c>
      <c r="AF24" s="42">
        <v>1</v>
      </c>
      <c r="AG24" s="42">
        <v>1</v>
      </c>
      <c r="AH24" s="42">
        <v>0</v>
      </c>
      <c r="AI24" s="42">
        <v>0</v>
      </c>
      <c r="AJ24" s="42">
        <f t="shared" si="20"/>
        <v>1</v>
      </c>
      <c r="AK24" s="42">
        <v>1</v>
      </c>
      <c r="AL24" s="42">
        <v>0</v>
      </c>
      <c r="AM24" s="42">
        <v>0</v>
      </c>
      <c r="AN24" s="42" t="b">
        <v>0</v>
      </c>
      <c r="AO24" s="42" t="b">
        <v>0</v>
      </c>
      <c r="AP24" s="42" t="b">
        <v>0</v>
      </c>
      <c r="AQ24" s="42" t="b">
        <v>0</v>
      </c>
      <c r="AR24" s="42" t="b">
        <v>0</v>
      </c>
      <c r="AS24" s="42" t="b">
        <v>0</v>
      </c>
      <c r="AT24" s="42" t="b">
        <v>0</v>
      </c>
      <c r="AU24" s="42" t="b">
        <v>1</v>
      </c>
      <c r="AV24" s="42" t="b">
        <v>0</v>
      </c>
      <c r="AW24" s="42" t="b">
        <v>0</v>
      </c>
      <c r="AX24" s="42" t="b">
        <v>1</v>
      </c>
      <c r="AY24" s="42" t="b">
        <v>1</v>
      </c>
      <c r="AZ24" s="42" t="b">
        <v>0</v>
      </c>
      <c r="BA24" s="42" t="b">
        <v>0</v>
      </c>
      <c r="BB24" s="42" t="b">
        <v>0</v>
      </c>
      <c r="BC24" s="42" t="b">
        <v>1</v>
      </c>
      <c r="BD24" s="42" t="b">
        <v>0</v>
      </c>
      <c r="BE24" s="42" t="b">
        <v>0</v>
      </c>
      <c r="BF24" s="42" t="b">
        <v>0</v>
      </c>
      <c r="BG24" s="42" t="b">
        <v>1</v>
      </c>
      <c r="BH24" s="42">
        <v>0</v>
      </c>
      <c r="BI24" s="42">
        <v>2</v>
      </c>
      <c r="BJ24" s="34" t="s">
        <v>322</v>
      </c>
      <c r="BK24" s="34" t="s">
        <v>323</v>
      </c>
      <c r="BL24" s="34" t="s">
        <v>324</v>
      </c>
    </row>
    <row r="25" spans="1:64" ht="25.5">
      <c r="A25" s="42">
        <v>120</v>
      </c>
      <c r="B25" s="34" t="s">
        <v>350</v>
      </c>
      <c r="C25" s="34" t="s">
        <v>261</v>
      </c>
      <c r="D25" s="42">
        <v>1712</v>
      </c>
      <c r="E25" s="34" t="s">
        <v>350</v>
      </c>
      <c r="F25" s="42">
        <v>12</v>
      </c>
      <c r="G25" s="34" t="s">
        <v>320</v>
      </c>
      <c r="H25" s="34" t="s">
        <v>351</v>
      </c>
      <c r="I25" s="43">
        <v>0</v>
      </c>
      <c r="J25" s="34" t="s">
        <v>231</v>
      </c>
      <c r="K25" s="34" t="s">
        <v>243</v>
      </c>
      <c r="L25" s="34">
        <f t="shared" si="11"/>
        <v>166</v>
      </c>
      <c r="M25" s="44">
        <f t="shared" si="21"/>
        <v>3.0120481927710845</v>
      </c>
      <c r="N25" s="44">
        <f t="shared" si="12"/>
        <v>95.18072289156626</v>
      </c>
      <c r="O25" s="44">
        <f t="shared" si="13"/>
        <v>1.8072289156626504</v>
      </c>
      <c r="P25" s="44">
        <f t="shared" si="14"/>
        <v>0</v>
      </c>
      <c r="Q25" s="44">
        <f t="shared" si="15"/>
        <v>31.6</v>
      </c>
      <c r="R25" s="44"/>
      <c r="S25" s="44">
        <f t="shared" si="16"/>
        <v>1.6666666666666667</v>
      </c>
      <c r="T25" s="34" t="s">
        <v>350</v>
      </c>
      <c r="U25" s="34">
        <f t="shared" si="17"/>
        <v>5</v>
      </c>
      <c r="V25" s="42">
        <f>2+1</f>
        <v>3</v>
      </c>
      <c r="W25" s="42">
        <v>0</v>
      </c>
      <c r="X25" s="42" t="s">
        <v>352</v>
      </c>
      <c r="Y25" s="42">
        <v>1</v>
      </c>
      <c r="Z25" s="42">
        <v>1</v>
      </c>
      <c r="AA25" s="42">
        <f t="shared" si="18"/>
        <v>158</v>
      </c>
      <c r="AB25" s="42">
        <f>39+20</f>
        <v>59</v>
      </c>
      <c r="AC25" s="42">
        <f>41+11</f>
        <v>52</v>
      </c>
      <c r="AD25" s="42">
        <f>30+17</f>
        <v>47</v>
      </c>
      <c r="AE25" s="42">
        <f t="shared" si="19"/>
        <v>3</v>
      </c>
      <c r="AF25" s="42">
        <v>2</v>
      </c>
      <c r="AG25" s="42">
        <v>1</v>
      </c>
      <c r="AH25" s="42">
        <v>0</v>
      </c>
      <c r="AI25" s="42">
        <v>0</v>
      </c>
      <c r="AJ25" s="42">
        <f t="shared" si="20"/>
        <v>0</v>
      </c>
      <c r="AK25" s="42">
        <v>0</v>
      </c>
      <c r="AL25" s="42">
        <v>0</v>
      </c>
      <c r="AM25" s="42">
        <v>0</v>
      </c>
      <c r="AN25" s="42" t="b">
        <v>0</v>
      </c>
      <c r="AO25" s="42" t="b">
        <v>0</v>
      </c>
      <c r="AP25" s="42" t="b">
        <v>0</v>
      </c>
      <c r="AQ25" s="42" t="b">
        <v>0</v>
      </c>
      <c r="AR25" s="42" t="b">
        <v>0</v>
      </c>
      <c r="AS25" s="42" t="b">
        <v>0</v>
      </c>
      <c r="AT25" s="42" t="b">
        <v>0</v>
      </c>
      <c r="AU25" s="42" t="b">
        <v>1</v>
      </c>
      <c r="AV25" s="42" t="b">
        <v>0</v>
      </c>
      <c r="AW25" s="42" t="b">
        <v>0</v>
      </c>
      <c r="AX25" s="42" t="b">
        <v>0</v>
      </c>
      <c r="AY25" s="42" t="b">
        <v>1</v>
      </c>
      <c r="AZ25" s="42" t="b">
        <v>0</v>
      </c>
      <c r="BA25" s="42" t="b">
        <v>0</v>
      </c>
      <c r="BB25" s="42" t="b">
        <v>0</v>
      </c>
      <c r="BC25" s="42" t="b">
        <v>0</v>
      </c>
      <c r="BD25" s="42" t="b">
        <v>0</v>
      </c>
      <c r="BE25" s="42" t="b">
        <v>0</v>
      </c>
      <c r="BF25" s="42" t="b">
        <v>0</v>
      </c>
      <c r="BG25" s="42" t="b">
        <v>0</v>
      </c>
      <c r="BH25" s="42">
        <v>0</v>
      </c>
      <c r="BI25" s="42">
        <v>4</v>
      </c>
      <c r="BJ25" s="34" t="s">
        <v>322</v>
      </c>
      <c r="BK25" s="34" t="s">
        <v>323</v>
      </c>
      <c r="BL25" s="34" t="s">
        <v>324</v>
      </c>
    </row>
    <row r="26" spans="1:64" ht="25.5">
      <c r="A26" s="42">
        <v>119</v>
      </c>
      <c r="B26" s="34" t="s">
        <v>353</v>
      </c>
      <c r="C26" s="34" t="s">
        <v>261</v>
      </c>
      <c r="D26" s="42">
        <v>1712</v>
      </c>
      <c r="E26" s="34" t="s">
        <v>353</v>
      </c>
      <c r="F26" s="42">
        <v>12</v>
      </c>
      <c r="G26" s="34" t="s">
        <v>332</v>
      </c>
      <c r="H26" s="34" t="s">
        <v>354</v>
      </c>
      <c r="I26" s="43">
        <v>0</v>
      </c>
      <c r="J26" s="34" t="s">
        <v>231</v>
      </c>
      <c r="K26" s="34" t="s">
        <v>243</v>
      </c>
      <c r="L26" s="34">
        <f t="shared" si="11"/>
        <v>150</v>
      </c>
      <c r="M26" s="44">
        <f t="shared" si="21"/>
        <v>2</v>
      </c>
      <c r="N26" s="44">
        <f t="shared" si="12"/>
        <v>94.66666666666667</v>
      </c>
      <c r="O26" s="44">
        <f t="shared" si="13"/>
        <v>2.666666666666667</v>
      </c>
      <c r="P26" s="44">
        <f t="shared" si="14"/>
        <v>0.6666666666666667</v>
      </c>
      <c r="Q26" s="44">
        <f t="shared" si="15"/>
        <v>47.333333333333336</v>
      </c>
      <c r="R26" s="44">
        <f>AA26/AJ26</f>
        <v>142</v>
      </c>
      <c r="S26" s="44">
        <f t="shared" si="16"/>
        <v>0.75</v>
      </c>
      <c r="T26" s="34" t="s">
        <v>353</v>
      </c>
      <c r="U26" s="34">
        <f t="shared" si="17"/>
        <v>3</v>
      </c>
      <c r="V26" s="42">
        <v>2</v>
      </c>
      <c r="W26" s="42">
        <v>0</v>
      </c>
      <c r="X26" s="42">
        <v>1</v>
      </c>
      <c r="Y26" s="42">
        <v>0</v>
      </c>
      <c r="Z26" s="42">
        <v>0</v>
      </c>
      <c r="AA26" s="42">
        <f t="shared" si="18"/>
        <v>142</v>
      </c>
      <c r="AB26" s="42">
        <v>60</v>
      </c>
      <c r="AC26" s="42">
        <v>48</v>
      </c>
      <c r="AD26" s="42">
        <v>34</v>
      </c>
      <c r="AE26" s="42">
        <f t="shared" si="19"/>
        <v>4</v>
      </c>
      <c r="AF26" s="42">
        <v>2</v>
      </c>
      <c r="AG26" s="42">
        <v>2</v>
      </c>
      <c r="AH26" s="42">
        <v>0</v>
      </c>
      <c r="AI26" s="42">
        <v>0</v>
      </c>
      <c r="AJ26" s="42">
        <f t="shared" si="20"/>
        <v>1</v>
      </c>
      <c r="AK26" s="42">
        <v>1</v>
      </c>
      <c r="AL26" s="42">
        <v>0</v>
      </c>
      <c r="AM26" s="42">
        <v>0</v>
      </c>
      <c r="AN26" s="42" t="b">
        <v>0</v>
      </c>
      <c r="AO26" s="42" t="b">
        <v>0</v>
      </c>
      <c r="AP26" s="42" t="b">
        <v>0</v>
      </c>
      <c r="AQ26" s="42" t="b">
        <v>0</v>
      </c>
      <c r="AR26" s="42" t="b">
        <v>0</v>
      </c>
      <c r="AS26" s="42" t="b">
        <v>0</v>
      </c>
      <c r="AT26" s="42" t="b">
        <v>0</v>
      </c>
      <c r="AU26" s="42" t="b">
        <v>1</v>
      </c>
      <c r="AV26" s="42" t="b">
        <v>0</v>
      </c>
      <c r="AW26" s="42" t="b">
        <v>0</v>
      </c>
      <c r="AX26" s="42" t="b">
        <v>0</v>
      </c>
      <c r="AY26" s="42" t="b">
        <v>1</v>
      </c>
      <c r="AZ26" s="42" t="b">
        <v>0</v>
      </c>
      <c r="BA26" s="42" t="b">
        <v>1</v>
      </c>
      <c r="BB26" s="42" t="b">
        <v>0</v>
      </c>
      <c r="BC26" s="42" t="b">
        <v>0</v>
      </c>
      <c r="BD26" s="42" t="b">
        <v>0</v>
      </c>
      <c r="BE26" s="42" t="b">
        <v>0</v>
      </c>
      <c r="BF26" s="42" t="b">
        <v>0</v>
      </c>
      <c r="BG26" s="42" t="b">
        <v>0</v>
      </c>
      <c r="BH26" s="42">
        <v>0</v>
      </c>
      <c r="BI26" s="42">
        <v>3</v>
      </c>
      <c r="BJ26" s="34" t="s">
        <v>322</v>
      </c>
      <c r="BK26" s="34" t="s">
        <v>323</v>
      </c>
      <c r="BL26" s="34" t="s">
        <v>324</v>
      </c>
    </row>
    <row r="27" spans="1:64" ht="25.5">
      <c r="A27" s="42">
        <v>143</v>
      </c>
      <c r="B27" s="34" t="s">
        <v>355</v>
      </c>
      <c r="C27" s="34" t="s">
        <v>261</v>
      </c>
      <c r="D27" s="42">
        <v>1712</v>
      </c>
      <c r="E27" s="34" t="s">
        <v>355</v>
      </c>
      <c r="F27" s="42">
        <v>40</v>
      </c>
      <c r="G27" s="34" t="s">
        <v>332</v>
      </c>
      <c r="H27" s="34" t="s">
        <v>356</v>
      </c>
      <c r="I27" s="43">
        <v>0</v>
      </c>
      <c r="J27" s="34" t="s">
        <v>231</v>
      </c>
      <c r="K27" s="34" t="s">
        <v>243</v>
      </c>
      <c r="L27" s="34">
        <f t="shared" si="11"/>
        <v>127</v>
      </c>
      <c r="M27" s="44">
        <f t="shared" si="21"/>
        <v>3.149606299212598</v>
      </c>
      <c r="N27" s="44">
        <f t="shared" si="12"/>
        <v>89.76377952755905</v>
      </c>
      <c r="O27" s="44">
        <f t="shared" si="13"/>
        <v>3.937007874015748</v>
      </c>
      <c r="P27" s="44">
        <f t="shared" si="14"/>
        <v>3.149606299212598</v>
      </c>
      <c r="Q27" s="44">
        <f t="shared" si="15"/>
        <v>28.5</v>
      </c>
      <c r="R27" s="44">
        <f>AA27/AJ27</f>
        <v>28.5</v>
      </c>
      <c r="S27" s="44">
        <f t="shared" si="16"/>
        <v>0.8</v>
      </c>
      <c r="T27" s="34" t="s">
        <v>355</v>
      </c>
      <c r="U27" s="34">
        <f t="shared" si="17"/>
        <v>4</v>
      </c>
      <c r="V27" s="42">
        <v>4</v>
      </c>
      <c r="W27" s="42">
        <v>0</v>
      </c>
      <c r="X27" s="42">
        <v>0</v>
      </c>
      <c r="Y27" s="42">
        <v>0</v>
      </c>
      <c r="Z27" s="42">
        <v>0</v>
      </c>
      <c r="AA27" s="42">
        <f t="shared" si="18"/>
        <v>114</v>
      </c>
      <c r="AB27" s="42">
        <v>55</v>
      </c>
      <c r="AC27" s="42">
        <v>34</v>
      </c>
      <c r="AD27" s="42">
        <v>25</v>
      </c>
      <c r="AE27" s="42">
        <f t="shared" si="19"/>
        <v>5</v>
      </c>
      <c r="AF27" s="42">
        <v>0</v>
      </c>
      <c r="AG27" s="42">
        <v>5</v>
      </c>
      <c r="AH27" s="42">
        <v>0</v>
      </c>
      <c r="AI27" s="42">
        <v>0</v>
      </c>
      <c r="AJ27" s="42">
        <f t="shared" si="20"/>
        <v>4</v>
      </c>
      <c r="AK27" s="42">
        <v>4</v>
      </c>
      <c r="AL27" s="42">
        <v>0</v>
      </c>
      <c r="AM27" s="42">
        <v>0</v>
      </c>
      <c r="AN27" s="42" t="b">
        <v>0</v>
      </c>
      <c r="AO27" s="42" t="b">
        <v>0</v>
      </c>
      <c r="AP27" s="42" t="b">
        <v>0</v>
      </c>
      <c r="AQ27" s="42" t="b">
        <v>0</v>
      </c>
      <c r="AR27" s="42" t="b">
        <v>0</v>
      </c>
      <c r="AS27" s="42" t="b">
        <v>0</v>
      </c>
      <c r="AT27" s="42" t="b">
        <v>0</v>
      </c>
      <c r="AU27" s="42" t="b">
        <v>1</v>
      </c>
      <c r="AV27" s="42" t="b">
        <v>0</v>
      </c>
      <c r="AW27" s="42" t="b">
        <v>0</v>
      </c>
      <c r="AX27" s="42" t="b">
        <v>1</v>
      </c>
      <c r="AY27" s="42" t="b">
        <v>1</v>
      </c>
      <c r="AZ27" s="42" t="b">
        <v>0</v>
      </c>
      <c r="BA27" s="42" t="b">
        <v>1</v>
      </c>
      <c r="BB27" s="42" t="b">
        <v>0</v>
      </c>
      <c r="BC27" s="42" t="b">
        <v>0</v>
      </c>
      <c r="BD27" s="42" t="b">
        <v>0</v>
      </c>
      <c r="BE27" s="42" t="b">
        <v>0</v>
      </c>
      <c r="BF27" s="42" t="b">
        <v>0</v>
      </c>
      <c r="BG27" s="42" t="b">
        <v>1</v>
      </c>
      <c r="BH27" s="42">
        <v>0</v>
      </c>
      <c r="BI27" s="42">
        <v>5</v>
      </c>
      <c r="BJ27" s="34" t="s">
        <v>322</v>
      </c>
      <c r="BK27" s="34" t="s">
        <v>323</v>
      </c>
      <c r="BL27" s="34" t="s">
        <v>324</v>
      </c>
    </row>
    <row r="28" spans="1:64" ht="25.5">
      <c r="A28" s="42">
        <v>123</v>
      </c>
      <c r="B28" s="34" t="s">
        <v>357</v>
      </c>
      <c r="C28" s="34" t="s">
        <v>261</v>
      </c>
      <c r="D28" s="42">
        <v>1712</v>
      </c>
      <c r="E28" s="34" t="s">
        <v>357</v>
      </c>
      <c r="F28" s="42">
        <v>15</v>
      </c>
      <c r="G28" s="34" t="s">
        <v>320</v>
      </c>
      <c r="H28" s="34" t="s">
        <v>358</v>
      </c>
      <c r="I28" s="43">
        <v>0</v>
      </c>
      <c r="J28" s="34" t="s">
        <v>231</v>
      </c>
      <c r="K28" s="34" t="s">
        <v>243</v>
      </c>
      <c r="L28" s="34">
        <f t="shared" si="11"/>
        <v>215</v>
      </c>
      <c r="M28" s="44">
        <f t="shared" si="21"/>
        <v>2.3255813953488373</v>
      </c>
      <c r="N28" s="44">
        <f t="shared" si="12"/>
        <v>93.02325581395348</v>
      </c>
      <c r="O28" s="44">
        <f t="shared" si="13"/>
        <v>2.7906976744186047</v>
      </c>
      <c r="P28" s="44">
        <f t="shared" si="14"/>
        <v>1.8604651162790697</v>
      </c>
      <c r="Q28" s="44">
        <f t="shared" si="15"/>
        <v>40</v>
      </c>
      <c r="R28" s="44">
        <f>AA28/AJ28</f>
        <v>50</v>
      </c>
      <c r="S28" s="44">
        <f t="shared" si="16"/>
        <v>0.8333333333333334</v>
      </c>
      <c r="T28" s="34" t="s">
        <v>357</v>
      </c>
      <c r="U28" s="34">
        <f t="shared" si="17"/>
        <v>5</v>
      </c>
      <c r="V28" s="42">
        <v>5</v>
      </c>
      <c r="W28" s="42">
        <v>0</v>
      </c>
      <c r="X28" s="42">
        <v>0</v>
      </c>
      <c r="Y28" s="42">
        <v>0</v>
      </c>
      <c r="Z28" s="42">
        <v>0</v>
      </c>
      <c r="AA28" s="42">
        <f t="shared" si="18"/>
        <v>200</v>
      </c>
      <c r="AB28" s="42">
        <v>80</v>
      </c>
      <c r="AC28" s="42">
        <v>70</v>
      </c>
      <c r="AD28" s="42">
        <v>50</v>
      </c>
      <c r="AE28" s="42">
        <f t="shared" si="19"/>
        <v>6</v>
      </c>
      <c r="AF28" s="42">
        <v>4</v>
      </c>
      <c r="AG28" s="42">
        <v>0</v>
      </c>
      <c r="AH28" s="42">
        <v>1</v>
      </c>
      <c r="AI28" s="42">
        <v>1</v>
      </c>
      <c r="AJ28" s="42">
        <f t="shared" si="20"/>
        <v>4</v>
      </c>
      <c r="AK28" s="42">
        <v>4</v>
      </c>
      <c r="AL28" s="42">
        <v>0</v>
      </c>
      <c r="AM28" s="42">
        <v>0</v>
      </c>
      <c r="AN28" s="42" t="b">
        <v>0</v>
      </c>
      <c r="AO28" s="42" t="b">
        <v>0</v>
      </c>
      <c r="AP28" s="42" t="b">
        <v>0</v>
      </c>
      <c r="AQ28" s="42" t="b">
        <v>0</v>
      </c>
      <c r="AR28" s="42" t="b">
        <v>0</v>
      </c>
      <c r="AS28" s="42" t="b">
        <v>0</v>
      </c>
      <c r="AT28" s="42" t="b">
        <v>0</v>
      </c>
      <c r="AU28" s="42" t="b">
        <v>1</v>
      </c>
      <c r="AV28" s="42" t="b">
        <v>0</v>
      </c>
      <c r="AW28" s="42" t="b">
        <v>0</v>
      </c>
      <c r="AX28" s="42" t="b">
        <v>1</v>
      </c>
      <c r="AY28" s="42" t="b">
        <v>1</v>
      </c>
      <c r="AZ28" s="42" t="b">
        <v>0</v>
      </c>
      <c r="BA28" s="42" t="b">
        <v>0</v>
      </c>
      <c r="BB28" s="42" t="b">
        <v>0</v>
      </c>
      <c r="BC28" s="42" t="b">
        <v>1</v>
      </c>
      <c r="BD28" s="42" t="b">
        <v>1</v>
      </c>
      <c r="BE28" s="42" t="b">
        <v>0</v>
      </c>
      <c r="BF28" s="42" t="b">
        <v>0</v>
      </c>
      <c r="BG28" s="42" t="b">
        <v>0</v>
      </c>
      <c r="BH28" s="42">
        <v>0</v>
      </c>
      <c r="BI28" s="42">
        <v>4</v>
      </c>
      <c r="BJ28" s="34" t="s">
        <v>322</v>
      </c>
      <c r="BK28" s="34" t="s">
        <v>323</v>
      </c>
      <c r="BL28" s="34" t="s">
        <v>324</v>
      </c>
    </row>
    <row r="29" spans="1:64" ht="25.5">
      <c r="A29" s="42">
        <v>125</v>
      </c>
      <c r="B29" s="34" t="s">
        <v>359</v>
      </c>
      <c r="C29" s="34" t="s">
        <v>360</v>
      </c>
      <c r="D29" s="42">
        <v>1712</v>
      </c>
      <c r="E29" s="34" t="s">
        <v>359</v>
      </c>
      <c r="F29" s="42">
        <v>30</v>
      </c>
      <c r="G29" s="34" t="s">
        <v>332</v>
      </c>
      <c r="H29" s="34" t="s">
        <v>361</v>
      </c>
      <c r="I29" s="43">
        <v>0</v>
      </c>
      <c r="J29" s="34" t="s">
        <v>231</v>
      </c>
      <c r="K29" s="34" t="s">
        <v>243</v>
      </c>
      <c r="L29" s="34">
        <f t="shared" si="11"/>
        <v>249</v>
      </c>
      <c r="M29" s="44">
        <f t="shared" si="21"/>
        <v>3.614457831325301</v>
      </c>
      <c r="N29" s="44">
        <f t="shared" si="12"/>
        <v>93.57429718875501</v>
      </c>
      <c r="O29" s="44">
        <f t="shared" si="13"/>
        <v>2.8112449799196786</v>
      </c>
      <c r="P29" s="44">
        <f t="shared" si="14"/>
        <v>0</v>
      </c>
      <c r="Q29" s="44">
        <f t="shared" si="15"/>
        <v>25.88888888888889</v>
      </c>
      <c r="R29" s="44"/>
      <c r="S29" s="44">
        <f t="shared" si="16"/>
        <v>1.2857142857142858</v>
      </c>
      <c r="T29" s="34" t="s">
        <v>359</v>
      </c>
      <c r="U29" s="34">
        <f t="shared" si="17"/>
        <v>9</v>
      </c>
      <c r="V29" s="42">
        <f>5+2</f>
        <v>7</v>
      </c>
      <c r="W29" s="42">
        <v>1</v>
      </c>
      <c r="X29" s="42">
        <v>0</v>
      </c>
      <c r="Y29" s="42">
        <f>0+1</f>
        <v>1</v>
      </c>
      <c r="Z29" s="42">
        <v>0</v>
      </c>
      <c r="AA29" s="42">
        <f t="shared" si="18"/>
        <v>233</v>
      </c>
      <c r="AB29" s="42">
        <f>65+30</f>
        <v>95</v>
      </c>
      <c r="AC29" s="42">
        <f>67+22</f>
        <v>89</v>
      </c>
      <c r="AD29" s="42">
        <f>37+12</f>
        <v>49</v>
      </c>
      <c r="AE29" s="42">
        <f t="shared" si="19"/>
        <v>7</v>
      </c>
      <c r="AF29" s="42">
        <f>2+1</f>
        <v>3</v>
      </c>
      <c r="AG29" s="42">
        <v>3</v>
      </c>
      <c r="AH29" s="42">
        <v>1</v>
      </c>
      <c r="AI29" s="42">
        <v>0</v>
      </c>
      <c r="AJ29" s="42">
        <f t="shared" si="20"/>
        <v>0</v>
      </c>
      <c r="AK29" s="42">
        <v>0</v>
      </c>
      <c r="AL29" s="42">
        <v>0</v>
      </c>
      <c r="AM29" s="42">
        <v>0</v>
      </c>
      <c r="AN29" s="42" t="b">
        <v>0</v>
      </c>
      <c r="AO29" s="42" t="b">
        <v>0</v>
      </c>
      <c r="AP29" s="42" t="b">
        <v>0</v>
      </c>
      <c r="AQ29" s="42" t="b">
        <v>0</v>
      </c>
      <c r="AR29" s="42" t="b">
        <v>0</v>
      </c>
      <c r="AS29" s="42" t="b">
        <v>0</v>
      </c>
      <c r="AT29" s="42" t="b">
        <v>0</v>
      </c>
      <c r="AU29" s="42" t="b">
        <v>1</v>
      </c>
      <c r="AV29" s="42" t="b">
        <v>0</v>
      </c>
      <c r="AW29" s="42" t="b">
        <v>0</v>
      </c>
      <c r="AX29" s="42" t="b">
        <v>1</v>
      </c>
      <c r="AY29" s="42" t="b">
        <v>1</v>
      </c>
      <c r="AZ29" s="42" t="b">
        <v>0</v>
      </c>
      <c r="BA29" s="42" t="b">
        <v>0</v>
      </c>
      <c r="BB29" s="42" t="b">
        <v>0</v>
      </c>
      <c r="BC29" s="42" t="b">
        <v>1</v>
      </c>
      <c r="BD29" s="42" t="b">
        <v>0</v>
      </c>
      <c r="BE29" s="42" t="b">
        <v>0</v>
      </c>
      <c r="BF29" s="42" t="b">
        <v>1</v>
      </c>
      <c r="BG29" s="42" t="b">
        <v>0</v>
      </c>
      <c r="BH29" s="42">
        <v>0</v>
      </c>
      <c r="BI29" s="42">
        <v>5</v>
      </c>
      <c r="BJ29" s="34" t="s">
        <v>322</v>
      </c>
      <c r="BK29" s="34" t="s">
        <v>323</v>
      </c>
      <c r="BL29" s="34" t="s">
        <v>324</v>
      </c>
    </row>
    <row r="30" spans="1:64" ht="25.5">
      <c r="A30" s="42">
        <v>128</v>
      </c>
      <c r="B30" s="34" t="s">
        <v>362</v>
      </c>
      <c r="C30" s="34" t="s">
        <v>261</v>
      </c>
      <c r="D30" s="42">
        <v>1712</v>
      </c>
      <c r="E30" s="34" t="s">
        <v>362</v>
      </c>
      <c r="F30" s="42">
        <v>30</v>
      </c>
      <c r="G30" s="34" t="s">
        <v>320</v>
      </c>
      <c r="H30" s="34" t="s">
        <v>363</v>
      </c>
      <c r="I30" s="43">
        <v>0</v>
      </c>
      <c r="J30" s="34" t="s">
        <v>231</v>
      </c>
      <c r="K30" s="34" t="s">
        <v>243</v>
      </c>
      <c r="L30" s="34">
        <f t="shared" si="11"/>
        <v>112</v>
      </c>
      <c r="M30" s="44">
        <f t="shared" si="21"/>
        <v>5.357142857142857</v>
      </c>
      <c r="N30" s="44">
        <f t="shared" si="12"/>
        <v>87.5</v>
      </c>
      <c r="O30" s="44">
        <f t="shared" si="13"/>
        <v>4.464285714285714</v>
      </c>
      <c r="P30" s="44">
        <f t="shared" si="14"/>
        <v>2.6785714285714284</v>
      </c>
      <c r="Q30" s="44">
        <f t="shared" si="15"/>
        <v>16.333333333333332</v>
      </c>
      <c r="R30" s="44">
        <f>AA30/AJ30</f>
        <v>32.666666666666664</v>
      </c>
      <c r="S30" s="44">
        <f t="shared" si="16"/>
        <v>1.2</v>
      </c>
      <c r="T30" s="34" t="s">
        <v>362</v>
      </c>
      <c r="U30" s="34">
        <f t="shared" si="17"/>
        <v>6</v>
      </c>
      <c r="V30" s="42">
        <v>4</v>
      </c>
      <c r="W30" s="42">
        <v>0</v>
      </c>
      <c r="X30" s="42">
        <v>0</v>
      </c>
      <c r="Y30" s="42">
        <v>2</v>
      </c>
      <c r="Z30" s="42">
        <v>0</v>
      </c>
      <c r="AA30" s="42">
        <f t="shared" si="18"/>
        <v>98</v>
      </c>
      <c r="AB30" s="42">
        <v>40</v>
      </c>
      <c r="AC30" s="42">
        <v>42</v>
      </c>
      <c r="AD30" s="42">
        <v>16</v>
      </c>
      <c r="AE30" s="42">
        <f t="shared" si="19"/>
        <v>5</v>
      </c>
      <c r="AF30" s="42">
        <v>0</v>
      </c>
      <c r="AG30" s="42">
        <v>3</v>
      </c>
      <c r="AH30" s="42">
        <v>1</v>
      </c>
      <c r="AI30" s="42">
        <v>1</v>
      </c>
      <c r="AJ30" s="42">
        <f t="shared" si="20"/>
        <v>3</v>
      </c>
      <c r="AK30" s="42">
        <v>3</v>
      </c>
      <c r="AL30" s="42">
        <v>0</v>
      </c>
      <c r="AM30" s="42">
        <v>0</v>
      </c>
      <c r="AN30" s="42" t="b">
        <v>0</v>
      </c>
      <c r="AO30" s="42" t="b">
        <v>0</v>
      </c>
      <c r="AP30" s="42" t="b">
        <v>0</v>
      </c>
      <c r="AQ30" s="42" t="b">
        <v>0</v>
      </c>
      <c r="AR30" s="42" t="b">
        <v>0</v>
      </c>
      <c r="AS30" s="42" t="b">
        <v>0</v>
      </c>
      <c r="AT30" s="42" t="b">
        <v>0</v>
      </c>
      <c r="AU30" s="42" t="b">
        <v>1</v>
      </c>
      <c r="AV30" s="42" t="b">
        <v>0</v>
      </c>
      <c r="AW30" s="42" t="b">
        <v>0</v>
      </c>
      <c r="AX30" s="42" t="b">
        <v>0</v>
      </c>
      <c r="AY30" s="42" t="b">
        <v>1</v>
      </c>
      <c r="AZ30" s="42" t="b">
        <v>0</v>
      </c>
      <c r="BA30" s="42" t="b">
        <v>0</v>
      </c>
      <c r="BB30" s="42" t="b">
        <v>1</v>
      </c>
      <c r="BC30" s="42" t="b">
        <v>1</v>
      </c>
      <c r="BD30" s="42" t="b">
        <v>1</v>
      </c>
      <c r="BE30" s="42" t="b">
        <v>0</v>
      </c>
      <c r="BF30" s="42" t="b">
        <v>0</v>
      </c>
      <c r="BG30" s="42" t="b">
        <v>1</v>
      </c>
      <c r="BH30" s="42">
        <v>0</v>
      </c>
      <c r="BI30" s="42">
        <v>4</v>
      </c>
      <c r="BJ30" s="34" t="s">
        <v>322</v>
      </c>
      <c r="BK30" s="34" t="s">
        <v>323</v>
      </c>
      <c r="BL30" s="34" t="s">
        <v>324</v>
      </c>
    </row>
    <row r="31" spans="1:64" ht="25.5">
      <c r="A31" s="42">
        <v>118</v>
      </c>
      <c r="B31" s="34" t="s">
        <v>364</v>
      </c>
      <c r="C31" s="34" t="s">
        <v>261</v>
      </c>
      <c r="D31" s="42">
        <v>1712</v>
      </c>
      <c r="E31" s="34" t="s">
        <v>364</v>
      </c>
      <c r="F31" s="42">
        <v>16</v>
      </c>
      <c r="G31" s="34" t="s">
        <v>320</v>
      </c>
      <c r="H31" s="34" t="s">
        <v>365</v>
      </c>
      <c r="I31" s="43">
        <v>0</v>
      </c>
      <c r="J31" s="34" t="s">
        <v>231</v>
      </c>
      <c r="K31" s="34" t="s">
        <v>243</v>
      </c>
      <c r="L31" s="34">
        <f t="shared" si="11"/>
        <v>150</v>
      </c>
      <c r="M31" s="44">
        <f t="shared" si="21"/>
        <v>4</v>
      </c>
      <c r="N31" s="44">
        <f t="shared" si="12"/>
        <v>86.66666666666667</v>
      </c>
      <c r="O31" s="44">
        <f t="shared" si="13"/>
        <v>3.3333333333333335</v>
      </c>
      <c r="P31" s="44">
        <f t="shared" si="14"/>
        <v>6</v>
      </c>
      <c r="Q31" s="44">
        <f t="shared" si="15"/>
        <v>21.666666666666668</v>
      </c>
      <c r="R31" s="44">
        <f>AA31/AJ31</f>
        <v>14.444444444444445</v>
      </c>
      <c r="S31" s="44">
        <f t="shared" si="16"/>
        <v>1.2</v>
      </c>
      <c r="T31" s="34" t="s">
        <v>364</v>
      </c>
      <c r="U31" s="34">
        <f t="shared" si="17"/>
        <v>6</v>
      </c>
      <c r="V31" s="42">
        <v>4</v>
      </c>
      <c r="W31" s="42">
        <v>0</v>
      </c>
      <c r="X31" s="42">
        <v>2</v>
      </c>
      <c r="Y31" s="42">
        <v>0</v>
      </c>
      <c r="Z31" s="42">
        <v>0</v>
      </c>
      <c r="AA31" s="42">
        <f t="shared" si="18"/>
        <v>130</v>
      </c>
      <c r="AB31" s="42">
        <v>60</v>
      </c>
      <c r="AC31" s="42">
        <v>50</v>
      </c>
      <c r="AD31" s="42">
        <v>20</v>
      </c>
      <c r="AE31" s="42">
        <f t="shared" si="19"/>
        <v>5</v>
      </c>
      <c r="AF31" s="42">
        <v>0</v>
      </c>
      <c r="AG31" s="42">
        <v>3</v>
      </c>
      <c r="AH31" s="42">
        <v>0</v>
      </c>
      <c r="AI31" s="42">
        <v>2</v>
      </c>
      <c r="AJ31" s="42">
        <f t="shared" si="20"/>
        <v>9</v>
      </c>
      <c r="AK31" s="42">
        <v>8</v>
      </c>
      <c r="AL31" s="42">
        <v>0</v>
      </c>
      <c r="AM31" s="42">
        <v>1</v>
      </c>
      <c r="AN31" s="42" t="b">
        <v>0</v>
      </c>
      <c r="AO31" s="42" t="b">
        <v>0</v>
      </c>
      <c r="AP31" s="42" t="b">
        <v>0</v>
      </c>
      <c r="AQ31" s="42" t="b">
        <v>0</v>
      </c>
      <c r="AR31" s="42" t="b">
        <v>0</v>
      </c>
      <c r="AS31" s="42" t="b">
        <v>0</v>
      </c>
      <c r="AT31" s="42" t="b">
        <v>0</v>
      </c>
      <c r="AU31" s="42" t="b">
        <v>1</v>
      </c>
      <c r="AV31" s="42" t="b">
        <v>0</v>
      </c>
      <c r="AW31" s="42" t="b">
        <v>1</v>
      </c>
      <c r="AX31" s="42" t="b">
        <v>0</v>
      </c>
      <c r="AY31" s="42" t="b">
        <v>1</v>
      </c>
      <c r="AZ31" s="42" t="b">
        <v>0</v>
      </c>
      <c r="BA31" s="42" t="b">
        <v>1</v>
      </c>
      <c r="BB31" s="42" t="b">
        <v>0</v>
      </c>
      <c r="BC31" s="42" t="b">
        <v>0</v>
      </c>
      <c r="BD31" s="42" t="b">
        <v>0</v>
      </c>
      <c r="BE31" s="42" t="b">
        <v>0</v>
      </c>
      <c r="BF31" s="42" t="b">
        <v>0</v>
      </c>
      <c r="BG31" s="42" t="b">
        <v>0</v>
      </c>
      <c r="BH31" s="42">
        <v>0</v>
      </c>
      <c r="BI31" s="42">
        <v>1</v>
      </c>
      <c r="BJ31" s="34" t="s">
        <v>322</v>
      </c>
      <c r="BK31" s="34" t="s">
        <v>323</v>
      </c>
      <c r="BL31" s="34" t="s">
        <v>324</v>
      </c>
    </row>
    <row r="32" spans="17:27" ht="15">
      <c r="Q32" s="44"/>
      <c r="T32" s="32"/>
      <c r="AA32" s="42"/>
    </row>
    <row r="33" spans="17:27" ht="15">
      <c r="Q33" s="44"/>
      <c r="AA33" s="42"/>
    </row>
    <row r="34" spans="17:27" ht="15">
      <c r="Q34" s="44"/>
      <c r="AA34" s="42"/>
    </row>
    <row r="35" spans="17:27" ht="15">
      <c r="Q35" s="44"/>
      <c r="AA35" s="42"/>
    </row>
    <row r="36" spans="17:27" ht="15">
      <c r="Q36" s="44"/>
      <c r="AA36" s="42"/>
    </row>
    <row r="37" ht="15">
      <c r="AA37" s="42"/>
    </row>
    <row r="38" ht="15">
      <c r="AA38" s="42"/>
    </row>
    <row r="39" ht="15">
      <c r="AA39" s="42"/>
    </row>
    <row r="40" ht="15">
      <c r="AA40" s="42"/>
    </row>
    <row r="41" ht="15">
      <c r="AA41" s="42"/>
    </row>
    <row r="42" ht="15">
      <c r="AA42" s="42"/>
    </row>
    <row r="43" ht="15">
      <c r="AA43" s="42"/>
    </row>
    <row r="44" ht="15">
      <c r="AA44" s="42"/>
    </row>
    <row r="45" ht="15">
      <c r="AA45" s="42"/>
    </row>
    <row r="46" ht="15">
      <c r="AA46" s="42"/>
    </row>
    <row r="47" ht="15">
      <c r="AA47" s="42"/>
    </row>
    <row r="48" ht="15">
      <c r="AA48" s="42"/>
    </row>
    <row r="49" ht="15">
      <c r="AA49" s="42"/>
    </row>
  </sheetData>
  <printOptions/>
  <pageMargins left="0.75" right="0.75" top="1" bottom="1" header="0.5" footer="0.5"/>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B2:J38"/>
  <sheetViews>
    <sheetView workbookViewId="0" topLeftCell="A1">
      <selection activeCell="CA49" sqref="BZ49:CA50"/>
    </sheetView>
  </sheetViews>
  <sheetFormatPr defaultColWidth="8.88671875" defaultRowHeight="15"/>
  <cols>
    <col min="1" max="2" width="7.10546875" style="22" customWidth="1"/>
    <col min="3" max="3" width="28.5546875" style="22" customWidth="1"/>
    <col min="4" max="4" width="21.21484375" style="22" customWidth="1"/>
    <col min="5" max="5" width="7.10546875" style="22" customWidth="1"/>
    <col min="6" max="6" width="10.3359375" style="22" customWidth="1"/>
    <col min="7" max="16384" width="7.10546875" style="22" customWidth="1"/>
  </cols>
  <sheetData>
    <row r="2" spans="9:10" ht="12.75">
      <c r="I2" s="22">
        <v>3.3</v>
      </c>
      <c r="J2" s="22" t="s">
        <v>188</v>
      </c>
    </row>
    <row r="3" spans="9:10" ht="12.75">
      <c r="I3" s="22">
        <v>1.5</v>
      </c>
      <c r="J3" s="22" t="s">
        <v>189</v>
      </c>
    </row>
    <row r="4" spans="3:10" ht="12.75">
      <c r="C4" s="52" t="s">
        <v>410</v>
      </c>
      <c r="I4" s="22">
        <f>SUM(I2:I3)</f>
        <v>4.8</v>
      </c>
      <c r="J4" s="22" t="s">
        <v>67</v>
      </c>
    </row>
    <row r="5" spans="2:7" ht="12.75">
      <c r="B5" s="52" t="s">
        <v>119</v>
      </c>
      <c r="D5" s="22" t="s">
        <v>190</v>
      </c>
      <c r="E5" s="22" t="s">
        <v>191</v>
      </c>
      <c r="F5" s="22" t="s">
        <v>192</v>
      </c>
      <c r="G5" s="22" t="s">
        <v>193</v>
      </c>
    </row>
    <row r="6" spans="2:7" ht="12.75">
      <c r="B6" s="22">
        <v>10</v>
      </c>
      <c r="C6" s="22" t="s">
        <v>194</v>
      </c>
      <c r="D6" s="22">
        <f>B6*$I$4</f>
        <v>48</v>
      </c>
      <c r="E6" s="22">
        <f>9+12</f>
        <v>21</v>
      </c>
      <c r="F6" s="22">
        <v>24</v>
      </c>
      <c r="G6" s="22">
        <v>45</v>
      </c>
    </row>
    <row r="7" spans="2:7" ht="12.75">
      <c r="B7" s="22">
        <v>8</v>
      </c>
      <c r="C7" s="22" t="s">
        <v>195</v>
      </c>
      <c r="D7" s="22">
        <f>B7*$I$4</f>
        <v>38.4</v>
      </c>
      <c r="F7" s="22">
        <v>5</v>
      </c>
      <c r="G7" s="22">
        <v>5</v>
      </c>
    </row>
    <row r="11" spans="6:8" ht="12.75">
      <c r="F11" s="22" t="s">
        <v>196</v>
      </c>
      <c r="G11" s="22" t="s">
        <v>197</v>
      </c>
      <c r="H11" s="22">
        <v>1.5</v>
      </c>
    </row>
    <row r="12" spans="3:8" ht="12.75">
      <c r="C12" s="23" t="s">
        <v>198</v>
      </c>
      <c r="F12" s="22">
        <v>40</v>
      </c>
      <c r="G12" s="22">
        <f>F12/10</f>
        <v>4</v>
      </c>
      <c r="H12" s="24">
        <f>G12/H11</f>
        <v>2.6666666666666665</v>
      </c>
    </row>
    <row r="13" ht="12.75">
      <c r="C13" s="23"/>
    </row>
    <row r="14" spans="3:7" ht="12.75">
      <c r="C14" s="23" t="s">
        <v>199</v>
      </c>
      <c r="F14" s="22">
        <v>30</v>
      </c>
      <c r="G14" s="22">
        <f>F14/10</f>
        <v>3</v>
      </c>
    </row>
    <row r="15" ht="12.75">
      <c r="C15" s="23" t="s">
        <v>200</v>
      </c>
    </row>
    <row r="16" spans="3:7" ht="12.75">
      <c r="C16" s="23" t="s">
        <v>201</v>
      </c>
      <c r="G16" s="22">
        <v>1</v>
      </c>
    </row>
    <row r="17" spans="3:7" ht="12.75">
      <c r="C17" s="23" t="s">
        <v>202</v>
      </c>
      <c r="G17" s="22">
        <v>1.2</v>
      </c>
    </row>
    <row r="18" ht="12.75">
      <c r="C18" s="23" t="s">
        <v>203</v>
      </c>
    </row>
    <row r="19" ht="12.75">
      <c r="C19" s="23"/>
    </row>
    <row r="22" spans="3:6" ht="12.75">
      <c r="C22" s="25"/>
      <c r="D22" s="25"/>
      <c r="E22" s="25" t="s">
        <v>204</v>
      </c>
      <c r="F22" s="25" t="s">
        <v>205</v>
      </c>
    </row>
    <row r="23" spans="3:6" ht="12.75">
      <c r="C23" s="25" t="s">
        <v>206</v>
      </c>
      <c r="D23" s="26" t="s">
        <v>207</v>
      </c>
      <c r="E23" s="25">
        <v>7</v>
      </c>
      <c r="F23" s="25" t="s">
        <v>208</v>
      </c>
    </row>
    <row r="24" spans="3:6" ht="12.75">
      <c r="C24" s="25"/>
      <c r="D24" s="26" t="s">
        <v>209</v>
      </c>
      <c r="E24" s="25">
        <v>7</v>
      </c>
      <c r="F24" s="25" t="s">
        <v>210</v>
      </c>
    </row>
    <row r="25" spans="3:6" ht="12.75">
      <c r="C25" s="27" t="s">
        <v>211</v>
      </c>
      <c r="D25" s="25" t="s">
        <v>212</v>
      </c>
      <c r="E25" s="25">
        <f>E24*4</f>
        <v>28</v>
      </c>
      <c r="F25" s="25" t="s">
        <v>213</v>
      </c>
    </row>
    <row r="26" spans="3:6" ht="12.75">
      <c r="C26" s="25" t="s">
        <v>214</v>
      </c>
      <c r="D26" s="28">
        <v>1.5</v>
      </c>
      <c r="E26" s="25"/>
      <c r="F26" s="25"/>
    </row>
    <row r="27" spans="3:6" ht="12.75">
      <c r="C27" s="25" t="s">
        <v>215</v>
      </c>
      <c r="D27" s="28">
        <v>3.3</v>
      </c>
      <c r="E27" s="25"/>
      <c r="F27" s="25"/>
    </row>
    <row r="28" spans="3:6" ht="12.75">
      <c r="C28" s="25" t="s">
        <v>216</v>
      </c>
      <c r="D28" s="28">
        <v>1.5</v>
      </c>
      <c r="E28" s="25"/>
      <c r="F28" s="25"/>
    </row>
    <row r="29" spans="3:6" ht="12.75">
      <c r="C29" s="25" t="s">
        <v>217</v>
      </c>
      <c r="D29" s="28"/>
      <c r="E29" s="25"/>
      <c r="F29" s="25"/>
    </row>
    <row r="30" spans="3:6" ht="12.75">
      <c r="C30" s="25" t="s">
        <v>218</v>
      </c>
      <c r="E30" s="25">
        <f>E23*D27</f>
        <v>23.099999999999998</v>
      </c>
      <c r="F30" s="25"/>
    </row>
    <row r="31" spans="3:6" ht="12.75">
      <c r="C31" s="25" t="s">
        <v>219</v>
      </c>
      <c r="D31" s="25"/>
      <c r="E31" s="29">
        <f>D28*E23</f>
        <v>10.5</v>
      </c>
      <c r="F31" s="30"/>
    </row>
    <row r="32" spans="3:6" ht="12.75">
      <c r="C32" s="25" t="s">
        <v>220</v>
      </c>
      <c r="D32" s="25"/>
      <c r="E32" s="30">
        <f>SUM(D29)</f>
        <v>0</v>
      </c>
      <c r="F32" s="30"/>
    </row>
    <row r="33" spans="3:6" ht="12.75">
      <c r="C33" s="31" t="s">
        <v>221</v>
      </c>
      <c r="D33" s="25"/>
      <c r="E33" s="25">
        <f>SUM(E30:E32)</f>
        <v>33.599999999999994</v>
      </c>
      <c r="F33" s="25"/>
    </row>
    <row r="34" spans="3:6" ht="12.75">
      <c r="C34" s="25" t="s">
        <v>222</v>
      </c>
      <c r="D34" s="25"/>
      <c r="E34" s="29">
        <f>SUM(E25)</f>
        <v>28</v>
      </c>
      <c r="F34" s="30"/>
    </row>
    <row r="35" spans="3:6" ht="12.75">
      <c r="C35" s="31" t="s">
        <v>223</v>
      </c>
      <c r="D35" s="25"/>
      <c r="E35" s="29">
        <f>E34-E33</f>
        <v>-5.599999999999994</v>
      </c>
      <c r="F35" s="30"/>
    </row>
    <row r="36" spans="3:6" ht="12.75">
      <c r="C36" s="25"/>
      <c r="D36" s="25"/>
      <c r="E36" s="25"/>
      <c r="F36" s="25"/>
    </row>
    <row r="37" spans="3:6" ht="12.75">
      <c r="C37" s="25" t="s">
        <v>224</v>
      </c>
      <c r="D37" s="28"/>
      <c r="E37" s="29">
        <f>E25*D26</f>
        <v>42</v>
      </c>
      <c r="F37" s="30"/>
    </row>
    <row r="38" spans="3:6" ht="12.75">
      <c r="C38" s="25" t="s">
        <v>225</v>
      </c>
      <c r="D38" s="25"/>
      <c r="E38" s="25">
        <f>E35*D26</f>
        <v>-8.399999999999991</v>
      </c>
      <c r="F38" s="25"/>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indexed="56"/>
  </sheetPr>
  <dimension ref="A1:V170"/>
  <sheetViews>
    <sheetView tabSelected="1" workbookViewId="0" topLeftCell="A1">
      <selection activeCell="A1" sqref="A1:IV16384"/>
    </sheetView>
  </sheetViews>
  <sheetFormatPr defaultColWidth="8.88671875" defaultRowHeight="15"/>
  <cols>
    <col min="1" max="1" width="45.99609375" style="0" customWidth="1"/>
    <col min="2" max="2" width="6.4453125" style="0" customWidth="1"/>
    <col min="4" max="13" width="7.99609375" style="0" customWidth="1"/>
    <col min="14" max="14" width="3.10546875" style="0" customWidth="1"/>
    <col min="15" max="16384" width="7.99609375" style="0" customWidth="1"/>
  </cols>
  <sheetData>
    <row r="1" spans="1:11" ht="18">
      <c r="A1" s="21" t="s">
        <v>428</v>
      </c>
      <c r="B1" s="18"/>
      <c r="C1" s="18"/>
      <c r="D1" s="18"/>
      <c r="E1" s="18"/>
      <c r="F1" s="18"/>
      <c r="G1" s="18"/>
      <c r="H1" s="18"/>
      <c r="I1" s="18"/>
      <c r="J1" s="18"/>
      <c r="K1" s="18"/>
    </row>
    <row r="2" spans="1:11" ht="15">
      <c r="A2" s="18" t="s">
        <v>178</v>
      </c>
      <c r="B2" s="18"/>
      <c r="C2" s="18"/>
      <c r="D2" s="18"/>
      <c r="E2" s="18"/>
      <c r="F2" s="18"/>
      <c r="G2" s="18"/>
      <c r="H2" s="18"/>
      <c r="I2" s="18"/>
      <c r="J2" s="18"/>
      <c r="K2" s="18"/>
    </row>
    <row r="3" spans="1:11" ht="15">
      <c r="A3" s="18" t="s">
        <v>179</v>
      </c>
      <c r="B3" s="18"/>
      <c r="C3" s="18"/>
      <c r="D3" s="18"/>
      <c r="E3" s="18"/>
      <c r="F3" s="18"/>
      <c r="G3" s="18"/>
      <c r="H3" s="18"/>
      <c r="I3" s="18"/>
      <c r="J3" s="18"/>
      <c r="K3" s="18"/>
    </row>
    <row r="4" spans="1:11" ht="15">
      <c r="A4" s="18" t="s">
        <v>180</v>
      </c>
      <c r="B4" s="18"/>
      <c r="C4" s="18"/>
      <c r="D4" s="18"/>
      <c r="E4" s="18"/>
      <c r="F4" s="18"/>
      <c r="G4" s="18"/>
      <c r="H4" s="18"/>
      <c r="I4" s="18"/>
      <c r="J4" s="18"/>
      <c r="K4" s="18"/>
    </row>
    <row r="5" spans="1:11" ht="15">
      <c r="A5" s="18" t="s">
        <v>181</v>
      </c>
      <c r="B5" s="18"/>
      <c r="C5" s="18"/>
      <c r="D5" s="18"/>
      <c r="E5" s="18"/>
      <c r="F5" s="18"/>
      <c r="G5" s="18"/>
      <c r="H5" s="18"/>
      <c r="I5" s="18"/>
      <c r="J5" s="18"/>
      <c r="K5" s="18"/>
    </row>
    <row r="6" spans="1:11" ht="15">
      <c r="A6" s="18" t="s">
        <v>415</v>
      </c>
      <c r="B6" s="18"/>
      <c r="C6" s="18"/>
      <c r="D6" s="18"/>
      <c r="E6" s="18"/>
      <c r="F6" s="18"/>
      <c r="G6" s="18"/>
      <c r="H6" s="18"/>
      <c r="I6" s="18"/>
      <c r="J6" s="18"/>
      <c r="K6" s="18"/>
    </row>
    <row r="7" ht="15">
      <c r="H7" t="s">
        <v>182</v>
      </c>
    </row>
    <row r="8" spans="1:12" ht="15">
      <c r="A8" t="s">
        <v>175</v>
      </c>
      <c r="H8" s="18" t="s">
        <v>183</v>
      </c>
      <c r="I8" s="18"/>
      <c r="J8" s="18"/>
      <c r="K8" s="18"/>
      <c r="L8" s="18"/>
    </row>
    <row r="9" spans="1:12" ht="15">
      <c r="A9" t="s">
        <v>1</v>
      </c>
      <c r="H9" s="18">
        <v>2006</v>
      </c>
      <c r="I9" s="19" t="s">
        <v>184</v>
      </c>
      <c r="J9" s="18"/>
      <c r="K9" s="18"/>
      <c r="L9" s="18"/>
    </row>
    <row r="10" spans="1:12" ht="15">
      <c r="A10" t="s">
        <v>3</v>
      </c>
      <c r="H10" s="18"/>
      <c r="I10" s="18" t="s">
        <v>15</v>
      </c>
      <c r="J10" s="18"/>
      <c r="K10" s="18"/>
      <c r="L10" s="18" t="s">
        <v>21</v>
      </c>
    </row>
    <row r="11" spans="8:12" ht="15">
      <c r="H11" s="18"/>
      <c r="J11" s="18"/>
      <c r="K11" s="18"/>
      <c r="L11" s="20" t="s">
        <v>173</v>
      </c>
    </row>
    <row r="12" ht="15">
      <c r="A12" t="s">
        <v>6</v>
      </c>
    </row>
    <row r="13" ht="15">
      <c r="D13" t="s">
        <v>8</v>
      </c>
    </row>
    <row r="14" spans="1:4" ht="15">
      <c r="A14" t="s">
        <v>10</v>
      </c>
      <c r="D14" t="s">
        <v>11</v>
      </c>
    </row>
    <row r="15" spans="1:4" ht="15">
      <c r="A15" t="s">
        <v>13</v>
      </c>
      <c r="D15" t="s">
        <v>14</v>
      </c>
    </row>
    <row r="16" spans="1:18" ht="15">
      <c r="A16" t="s">
        <v>16</v>
      </c>
      <c r="D16" t="s">
        <v>17</v>
      </c>
      <c r="Q16" s="18"/>
      <c r="R16" s="18"/>
    </row>
    <row r="17" spans="1:18" ht="15">
      <c r="A17" t="s">
        <v>19</v>
      </c>
      <c r="D17" t="s">
        <v>20</v>
      </c>
      <c r="Q17" s="18"/>
      <c r="R17" s="18"/>
    </row>
    <row r="18" spans="1:18" ht="15">
      <c r="A18" t="s">
        <v>22</v>
      </c>
      <c r="D18" t="s">
        <v>23</v>
      </c>
      <c r="Q18" s="18"/>
      <c r="R18" s="18"/>
    </row>
    <row r="19" spans="1:18" ht="15">
      <c r="A19" t="s">
        <v>25</v>
      </c>
      <c r="D19" t="s">
        <v>416</v>
      </c>
      <c r="Q19" s="18"/>
      <c r="R19" s="18"/>
    </row>
    <row r="20" spans="1:16" ht="15">
      <c r="A20" s="48" t="s">
        <v>425</v>
      </c>
      <c r="D20" t="s">
        <v>27</v>
      </c>
      <c r="P20" t="s">
        <v>9</v>
      </c>
    </row>
    <row r="21" spans="1:16" ht="15">
      <c r="A21" s="48" t="s">
        <v>426</v>
      </c>
      <c r="D21" t="s">
        <v>29</v>
      </c>
      <c r="N21" t="s">
        <v>30</v>
      </c>
      <c r="P21" t="s">
        <v>12</v>
      </c>
    </row>
    <row r="22" spans="1:15" ht="15">
      <c r="A22" s="48" t="s">
        <v>427</v>
      </c>
      <c r="N22" t="s">
        <v>30</v>
      </c>
      <c r="O22" t="s">
        <v>15</v>
      </c>
    </row>
    <row r="23" spans="1:16" ht="23.25">
      <c r="A23" s="17" t="s">
        <v>429</v>
      </c>
      <c r="N23" t="s">
        <v>30</v>
      </c>
      <c r="P23" t="s">
        <v>18</v>
      </c>
    </row>
    <row r="24" spans="1:14" ht="15">
      <c r="A24" s="16" t="s">
        <v>174</v>
      </c>
      <c r="D24" t="s">
        <v>33</v>
      </c>
      <c r="N24" t="s">
        <v>30</v>
      </c>
    </row>
    <row r="25" spans="14:16" ht="15">
      <c r="N25" t="s">
        <v>30</v>
      </c>
      <c r="P25" t="s">
        <v>24</v>
      </c>
    </row>
    <row r="26" spans="1:16" ht="18">
      <c r="A26" s="5" t="s">
        <v>34</v>
      </c>
      <c r="N26" t="s">
        <v>30</v>
      </c>
      <c r="P26" s="15" t="s">
        <v>173</v>
      </c>
    </row>
    <row r="27" spans="1:16" ht="20.25">
      <c r="A27" t="s">
        <v>35</v>
      </c>
      <c r="E27" s="10" t="s">
        <v>36</v>
      </c>
      <c r="F27" s="12"/>
      <c r="G27" s="10" t="s">
        <v>37</v>
      </c>
      <c r="H27" s="12"/>
      <c r="I27" s="10" t="s">
        <v>38</v>
      </c>
      <c r="J27" s="12"/>
      <c r="K27" s="10" t="s">
        <v>39</v>
      </c>
      <c r="L27" s="12"/>
      <c r="N27" t="s">
        <v>30</v>
      </c>
      <c r="P27" t="s">
        <v>28</v>
      </c>
    </row>
    <row r="28" spans="1:14" ht="15">
      <c r="A28" t="s">
        <v>40</v>
      </c>
      <c r="E28" s="7">
        <v>1</v>
      </c>
      <c r="G28" s="7">
        <v>2</v>
      </c>
      <c r="I28" s="7">
        <v>3</v>
      </c>
      <c r="K28" s="7" t="s">
        <v>41</v>
      </c>
      <c r="L28" s="7"/>
      <c r="N28" t="s">
        <v>30</v>
      </c>
    </row>
    <row r="29" spans="1:14" ht="15">
      <c r="A29" t="s">
        <v>42</v>
      </c>
      <c r="E29" s="7" t="s">
        <v>43</v>
      </c>
      <c r="G29" s="7" t="s">
        <v>44</v>
      </c>
      <c r="I29" s="7" t="s">
        <v>45</v>
      </c>
      <c r="K29" s="7" t="s">
        <v>46</v>
      </c>
      <c r="L29" s="7"/>
      <c r="N29" t="s">
        <v>30</v>
      </c>
    </row>
    <row r="30" spans="12:14" ht="15">
      <c r="L30" s="7"/>
      <c r="N30" t="s">
        <v>30</v>
      </c>
    </row>
    <row r="32" spans="1:14" ht="15">
      <c r="A32" t="s">
        <v>47</v>
      </c>
      <c r="N32" t="s">
        <v>30</v>
      </c>
    </row>
    <row r="33" spans="1:14" ht="15">
      <c r="A33" t="s">
        <v>48</v>
      </c>
      <c r="E33" s="7">
        <v>389</v>
      </c>
      <c r="G33" s="13">
        <f>(84+50+77)/3</f>
        <v>70.33333333333333</v>
      </c>
      <c r="I33" s="13">
        <f>(25+15+20+11+12)/5</f>
        <v>16.6</v>
      </c>
      <c r="K33" s="13">
        <f>(14+6+20+16+18+14)/6</f>
        <v>14.666666666666666</v>
      </c>
      <c r="N33" t="s">
        <v>30</v>
      </c>
    </row>
    <row r="34" spans="1:14" ht="15">
      <c r="A34" t="s">
        <v>49</v>
      </c>
      <c r="E34" s="1">
        <f>E33/E44</f>
        <v>3.2148760330578514</v>
      </c>
      <c r="G34" s="1">
        <f>G33/G44</f>
        <v>2.268817204301075</v>
      </c>
      <c r="I34" s="1">
        <f>I33/I44</f>
        <v>2.075</v>
      </c>
      <c r="K34" s="1">
        <f>K33/K44</f>
        <v>2.933333333333333</v>
      </c>
      <c r="N34" t="s">
        <v>30</v>
      </c>
    </row>
    <row r="35" spans="1:14" ht="15">
      <c r="A35" t="s">
        <v>50</v>
      </c>
      <c r="E35" s="7" t="s">
        <v>51</v>
      </c>
      <c r="G35" s="7" t="s">
        <v>52</v>
      </c>
      <c r="I35" s="7" t="s">
        <v>53</v>
      </c>
      <c r="K35" s="7" t="s">
        <v>54</v>
      </c>
      <c r="N35" t="s">
        <v>30</v>
      </c>
    </row>
    <row r="36" spans="1:14" ht="15">
      <c r="A36" t="s">
        <v>55</v>
      </c>
      <c r="E36" s="1">
        <f>E45/E44</f>
        <v>0.5371900826446281</v>
      </c>
      <c r="G36" s="1">
        <f>G45/G44</f>
        <v>1.8870967741935485</v>
      </c>
      <c r="I36" s="1">
        <f>I45/I44</f>
        <v>4.7125</v>
      </c>
      <c r="K36" s="1">
        <f>K45/K44</f>
        <v>3.9</v>
      </c>
      <c r="N36" t="s">
        <v>30</v>
      </c>
    </row>
    <row r="37" ht="15">
      <c r="N37" t="s">
        <v>30</v>
      </c>
    </row>
    <row r="38" ht="18">
      <c r="A38" s="5" t="s">
        <v>56</v>
      </c>
    </row>
    <row r="39" spans="1:11" ht="21" thickBot="1">
      <c r="A39" s="56" t="s">
        <v>430</v>
      </c>
      <c r="E39" s="10" t="s">
        <v>36</v>
      </c>
      <c r="F39" s="12"/>
      <c r="G39" s="10" t="s">
        <v>37</v>
      </c>
      <c r="H39" s="12"/>
      <c r="I39" s="10" t="s">
        <v>38</v>
      </c>
      <c r="J39" s="12"/>
      <c r="K39" s="10" t="s">
        <v>39</v>
      </c>
    </row>
    <row r="40" spans="1:13" ht="15">
      <c r="A40" s="48" t="s">
        <v>431</v>
      </c>
      <c r="C40" s="48"/>
      <c r="D40" s="54" t="s">
        <v>57</v>
      </c>
      <c r="E40" s="60">
        <v>121</v>
      </c>
      <c r="F40" s="61"/>
      <c r="G40" s="61">
        <v>31</v>
      </c>
      <c r="H40" s="61"/>
      <c r="I40" s="61">
        <v>8</v>
      </c>
      <c r="J40" s="61"/>
      <c r="K40" s="61">
        <v>5</v>
      </c>
      <c r="L40" s="62"/>
      <c r="M40" s="48"/>
    </row>
    <row r="41" spans="1:13" ht="15.75" thickBot="1">
      <c r="A41" s="48" t="s">
        <v>432</v>
      </c>
      <c r="C41" s="48"/>
      <c r="D41" s="54" t="s">
        <v>58</v>
      </c>
      <c r="E41" s="63">
        <v>50</v>
      </c>
      <c r="F41" s="64"/>
      <c r="G41" s="64">
        <v>45</v>
      </c>
      <c r="H41" s="64"/>
      <c r="I41" s="64">
        <v>29</v>
      </c>
      <c r="J41" s="64"/>
      <c r="K41" s="64">
        <v>15</v>
      </c>
      <c r="L41" s="65"/>
      <c r="M41" s="48"/>
    </row>
    <row r="42" spans="1:11" ht="15.75" thickBot="1">
      <c r="A42" s="58" t="s">
        <v>433</v>
      </c>
      <c r="E42">
        <f>E41*$B$43</f>
        <v>15</v>
      </c>
      <c r="G42">
        <f>G41*$B$43</f>
        <v>13.5</v>
      </c>
      <c r="I42">
        <f>I41*$B$43</f>
        <v>8.7</v>
      </c>
      <c r="K42">
        <f>K41*$B$43</f>
        <v>4.5</v>
      </c>
    </row>
    <row r="43" spans="1:14" ht="21" thickBot="1">
      <c r="A43" s="66" t="s">
        <v>434</v>
      </c>
      <c r="B43" s="59">
        <v>0.3</v>
      </c>
      <c r="E43" s="10" t="s">
        <v>36</v>
      </c>
      <c r="F43" s="12"/>
      <c r="G43" s="10" t="s">
        <v>37</v>
      </c>
      <c r="H43" s="12"/>
      <c r="I43" s="10" t="s">
        <v>38</v>
      </c>
      <c r="J43" s="12"/>
      <c r="K43" s="10" t="s">
        <v>39</v>
      </c>
      <c r="N43" t="s">
        <v>30</v>
      </c>
    </row>
    <row r="44" spans="1:22" s="57" customFormat="1" ht="15">
      <c r="A44" s="67" t="s">
        <v>435</v>
      </c>
      <c r="B44" s="67"/>
      <c r="C44" s="67"/>
      <c r="D44" s="68" t="s">
        <v>57</v>
      </c>
      <c r="E44" s="67">
        <f>SUM(E40)</f>
        <v>121</v>
      </c>
      <c r="F44" s="67"/>
      <c r="G44" s="67">
        <f>SUM(G40)</f>
        <v>31</v>
      </c>
      <c r="H44" s="67"/>
      <c r="I44" s="67">
        <f>SUM(I40)</f>
        <v>8</v>
      </c>
      <c r="J44" s="67"/>
      <c r="K44" s="67">
        <f>SUM(K40)</f>
        <v>5</v>
      </c>
      <c r="L44" s="67"/>
      <c r="N44" s="57" t="s">
        <v>30</v>
      </c>
      <c r="P44" s="57">
        <v>103</v>
      </c>
      <c r="R44" s="57">
        <v>24</v>
      </c>
      <c r="T44" s="57">
        <v>6</v>
      </c>
      <c r="V44" s="57">
        <v>3</v>
      </c>
    </row>
    <row r="45" spans="1:22" s="57" customFormat="1" ht="15">
      <c r="A45" s="67"/>
      <c r="B45" s="67"/>
      <c r="C45" s="67"/>
      <c r="D45" s="68" t="s">
        <v>58</v>
      </c>
      <c r="E45" s="67">
        <f>SUM(E41)+E42</f>
        <v>65</v>
      </c>
      <c r="F45" s="67"/>
      <c r="G45" s="67">
        <f>SUM(G41)+G42</f>
        <v>58.5</v>
      </c>
      <c r="H45" s="67"/>
      <c r="I45" s="67">
        <f>SUM(I41)+I42</f>
        <v>37.7</v>
      </c>
      <c r="J45" s="67"/>
      <c r="K45" s="67">
        <f>SUM(K41)+K42</f>
        <v>19.5</v>
      </c>
      <c r="L45" s="67"/>
      <c r="N45" s="57" t="s">
        <v>30</v>
      </c>
      <c r="P45" s="57">
        <v>60</v>
      </c>
      <c r="R45" s="57">
        <v>24</v>
      </c>
      <c r="T45" s="57">
        <v>23</v>
      </c>
      <c r="V45" s="57">
        <v>19</v>
      </c>
    </row>
    <row r="46" spans="1:14" ht="18">
      <c r="A46" t="s">
        <v>59</v>
      </c>
      <c r="C46" s="5" t="s">
        <v>60</v>
      </c>
      <c r="N46" t="s">
        <v>30</v>
      </c>
    </row>
    <row r="47" spans="1:14" ht="18">
      <c r="A47" t="s">
        <v>61</v>
      </c>
      <c r="C47" s="5" t="s">
        <v>62</v>
      </c>
      <c r="E47" t="s">
        <v>63</v>
      </c>
      <c r="N47" t="s">
        <v>30</v>
      </c>
    </row>
    <row r="48" spans="1:14" ht="18">
      <c r="A48" t="s">
        <v>64</v>
      </c>
      <c r="C48" s="5">
        <v>4400</v>
      </c>
      <c r="E48">
        <f>E44*$C$48</f>
        <v>532400</v>
      </c>
      <c r="G48">
        <f>G44*$C$48</f>
        <v>136400</v>
      </c>
      <c r="I48">
        <f>I44*$C$48</f>
        <v>35200</v>
      </c>
      <c r="K48">
        <f>K44*$C$48</f>
        <v>22000</v>
      </c>
      <c r="N48" t="s">
        <v>30</v>
      </c>
    </row>
    <row r="49" spans="1:14" ht="18">
      <c r="A49" t="s">
        <v>65</v>
      </c>
      <c r="C49" s="5">
        <v>700</v>
      </c>
      <c r="E49">
        <f>E45*$C$49</f>
        <v>45500</v>
      </c>
      <c r="G49">
        <f>G45*$C$49</f>
        <v>40950</v>
      </c>
      <c r="I49">
        <f>I45*$C$49</f>
        <v>26390.000000000004</v>
      </c>
      <c r="K49">
        <f>K45*$C$49</f>
        <v>13650</v>
      </c>
      <c r="N49" t="s">
        <v>30</v>
      </c>
    </row>
    <row r="50" spans="5:14" ht="20.25">
      <c r="E50" s="10" t="s">
        <v>36</v>
      </c>
      <c r="F50" s="12"/>
      <c r="G50" s="10" t="s">
        <v>37</v>
      </c>
      <c r="H50" s="12"/>
      <c r="I50" s="10" t="s">
        <v>38</v>
      </c>
      <c r="J50" s="12"/>
      <c r="K50" s="10" t="s">
        <v>39</v>
      </c>
      <c r="N50" t="s">
        <v>30</v>
      </c>
    </row>
    <row r="51" spans="4:14" ht="15">
      <c r="D51" t="s">
        <v>67</v>
      </c>
      <c r="E51">
        <f>SUM(E48:E49)</f>
        <v>577900</v>
      </c>
      <c r="G51">
        <f>SUM(G48:G49)</f>
        <v>177350</v>
      </c>
      <c r="I51">
        <f>SUM(I48:I49)</f>
        <v>61590</v>
      </c>
      <c r="K51">
        <f>SUM(K48:K49)</f>
        <v>35650</v>
      </c>
      <c r="N51" t="s">
        <v>30</v>
      </c>
    </row>
    <row r="52" ht="15">
      <c r="N52" t="s">
        <v>30</v>
      </c>
    </row>
    <row r="53" spans="1:14" ht="18">
      <c r="A53" s="5" t="s">
        <v>68</v>
      </c>
      <c r="C53" s="5" t="s">
        <v>69</v>
      </c>
      <c r="D53" s="5"/>
      <c r="E53" s="5"/>
      <c r="F53" s="5"/>
      <c r="G53" s="5"/>
      <c r="H53" s="5"/>
      <c r="I53" s="5"/>
      <c r="J53" s="5"/>
      <c r="N53" t="s">
        <v>30</v>
      </c>
    </row>
    <row r="54" spans="1:14" ht="18">
      <c r="A54" s="6">
        <v>1</v>
      </c>
      <c r="C54" s="5" t="s">
        <v>70</v>
      </c>
      <c r="D54" s="5"/>
      <c r="E54" s="5"/>
      <c r="F54" s="5"/>
      <c r="G54" s="5"/>
      <c r="H54" s="5"/>
      <c r="I54" s="5"/>
      <c r="J54" s="5"/>
      <c r="N54" t="s">
        <v>30</v>
      </c>
    </row>
    <row r="55" spans="1:14" ht="18">
      <c r="A55" s="6">
        <v>1</v>
      </c>
      <c r="C55" s="5" t="s">
        <v>71</v>
      </c>
      <c r="D55" s="5"/>
      <c r="E55" s="5"/>
      <c r="F55" s="5"/>
      <c r="G55" s="5"/>
      <c r="H55" s="5"/>
      <c r="I55" s="5"/>
      <c r="J55" s="5"/>
      <c r="N55" t="s">
        <v>30</v>
      </c>
    </row>
    <row r="56" ht="15">
      <c r="N56" t="s">
        <v>30</v>
      </c>
    </row>
    <row r="57" spans="1:14" ht="18">
      <c r="A57" s="5" t="s">
        <v>72</v>
      </c>
      <c r="E57" s="1"/>
      <c r="N57" t="s">
        <v>30</v>
      </c>
    </row>
    <row r="58" spans="1:14" ht="15">
      <c r="A58" t="s">
        <v>73</v>
      </c>
      <c r="E58" t="s">
        <v>74</v>
      </c>
      <c r="G58" t="s">
        <v>75</v>
      </c>
      <c r="I58" s="2">
        <v>154.5</v>
      </c>
      <c r="K58" s="2">
        <f>(138+133+131+131+128+125+125+123+120+113+113)/11</f>
        <v>125.45454545454545</v>
      </c>
      <c r="N58" t="s">
        <v>30</v>
      </c>
    </row>
    <row r="59" spans="1:14" ht="15">
      <c r="A59" t="s">
        <v>76</v>
      </c>
      <c r="E59">
        <f>800*A54</f>
        <v>800</v>
      </c>
      <c r="G59">
        <f>400*A54</f>
        <v>400</v>
      </c>
      <c r="I59">
        <v>155</v>
      </c>
      <c r="K59">
        <f>125*A54</f>
        <v>125</v>
      </c>
      <c r="N59" t="s">
        <v>30</v>
      </c>
    </row>
    <row r="60" ht="15">
      <c r="N60" t="s">
        <v>30</v>
      </c>
    </row>
    <row r="61" spans="1:14" ht="20.25">
      <c r="A61" s="5" t="s">
        <v>77</v>
      </c>
      <c r="E61" s="10" t="s">
        <v>36</v>
      </c>
      <c r="F61" s="12"/>
      <c r="G61" s="10" t="s">
        <v>37</v>
      </c>
      <c r="H61" s="12"/>
      <c r="I61" s="10" t="s">
        <v>38</v>
      </c>
      <c r="J61" s="12"/>
      <c r="K61" s="10" t="s">
        <v>39</v>
      </c>
      <c r="N61" t="s">
        <v>30</v>
      </c>
    </row>
    <row r="62" spans="3:14" ht="15">
      <c r="C62" t="s">
        <v>78</v>
      </c>
      <c r="D62" s="1" t="s">
        <v>79</v>
      </c>
      <c r="E62" t="s">
        <v>80</v>
      </c>
      <c r="N62" t="s">
        <v>30</v>
      </c>
    </row>
    <row r="63" spans="3:14" ht="15">
      <c r="C63" t="s">
        <v>81</v>
      </c>
      <c r="D63" s="8" t="s">
        <v>82</v>
      </c>
      <c r="E63" s="8" t="s">
        <v>83</v>
      </c>
      <c r="F63" s="8" t="s">
        <v>82</v>
      </c>
      <c r="G63" s="8" t="s">
        <v>83</v>
      </c>
      <c r="H63" s="8" t="s">
        <v>82</v>
      </c>
      <c r="I63" s="8" t="s">
        <v>83</v>
      </c>
      <c r="J63" s="8" t="s">
        <v>82</v>
      </c>
      <c r="K63" s="8" t="s">
        <v>83</v>
      </c>
      <c r="L63" s="8"/>
      <c r="N63" t="s">
        <v>30</v>
      </c>
    </row>
    <row r="64" spans="1:14" ht="15">
      <c r="A64" t="s">
        <v>84</v>
      </c>
      <c r="N64" t="s">
        <v>30</v>
      </c>
    </row>
    <row r="65" spans="1:14" ht="15">
      <c r="A65" t="s">
        <v>85</v>
      </c>
      <c r="C65">
        <f>1200*A55</f>
        <v>1200</v>
      </c>
      <c r="D65">
        <v>40</v>
      </c>
      <c r="E65">
        <f>$E$59*(D65/100)*C65</f>
        <v>384000</v>
      </c>
      <c r="F65">
        <v>10</v>
      </c>
      <c r="G65">
        <f>$G$59*(F65/100)*C65</f>
        <v>48000</v>
      </c>
      <c r="H65">
        <v>5</v>
      </c>
      <c r="I65">
        <f>$I$59*(H65/100)*C65</f>
        <v>9300</v>
      </c>
      <c r="J65">
        <v>0</v>
      </c>
      <c r="K65" s="2">
        <f>$K$59*(J65/100)*C65</f>
        <v>0</v>
      </c>
      <c r="N65" t="s">
        <v>30</v>
      </c>
    </row>
    <row r="66" spans="1:14" ht="15">
      <c r="A66" t="s">
        <v>86</v>
      </c>
      <c r="C66">
        <v>400</v>
      </c>
      <c r="D66">
        <v>50</v>
      </c>
      <c r="E66">
        <f>$E$59*(D66/100)*C66</f>
        <v>160000</v>
      </c>
      <c r="F66">
        <v>35</v>
      </c>
      <c r="G66">
        <f>$G$59*(F66/100)*C66</f>
        <v>56000</v>
      </c>
      <c r="H66">
        <v>30</v>
      </c>
      <c r="I66">
        <f>$I$59*(H66/100)*C66</f>
        <v>18600</v>
      </c>
      <c r="J66">
        <v>5</v>
      </c>
      <c r="K66" s="2">
        <f>$K$59*(J66/100)*C66</f>
        <v>2500</v>
      </c>
      <c r="N66" t="s">
        <v>30</v>
      </c>
    </row>
    <row r="67" spans="1:14" ht="15">
      <c r="A67" t="s">
        <v>87</v>
      </c>
      <c r="C67">
        <f>300*A55</f>
        <v>300</v>
      </c>
      <c r="D67">
        <v>10</v>
      </c>
      <c r="E67">
        <f>$E$59*(D67/100)*C67</f>
        <v>24000</v>
      </c>
      <c r="F67">
        <v>50</v>
      </c>
      <c r="G67">
        <f>$G$59*(F67/100)*C67</f>
        <v>60000</v>
      </c>
      <c r="H67">
        <v>50</v>
      </c>
      <c r="I67">
        <f>$I$59*(H67/100)*C67</f>
        <v>23250</v>
      </c>
      <c r="J67">
        <v>50</v>
      </c>
      <c r="K67" s="2">
        <f>$K$59*(J67/100)*C67</f>
        <v>18750</v>
      </c>
      <c r="N67" t="s">
        <v>30</v>
      </c>
    </row>
    <row r="68" spans="1:14" ht="15">
      <c r="A68" t="s">
        <v>88</v>
      </c>
      <c r="C68">
        <f>200*A55</f>
        <v>200</v>
      </c>
      <c r="D68">
        <v>0</v>
      </c>
      <c r="E68">
        <f>$E$59*(D68/100)*C68</f>
        <v>0</v>
      </c>
      <c r="F68">
        <v>5</v>
      </c>
      <c r="G68">
        <f>$G$59*(F68/100)*C68</f>
        <v>4000</v>
      </c>
      <c r="H68">
        <v>15</v>
      </c>
      <c r="I68">
        <f>$I$59*(H68/100)*C68</f>
        <v>4650</v>
      </c>
      <c r="J68">
        <v>45</v>
      </c>
      <c r="K68" s="2">
        <f>$K$59*(J68/100)*C68</f>
        <v>11250</v>
      </c>
      <c r="N68" t="s">
        <v>30</v>
      </c>
    </row>
    <row r="69" spans="4:14" ht="15">
      <c r="D69">
        <f>SUM(D65:D68)</f>
        <v>100</v>
      </c>
      <c r="F69">
        <f>SUM(F65:F68)</f>
        <v>100</v>
      </c>
      <c r="H69">
        <f>SUM(H65:H68)</f>
        <v>100</v>
      </c>
      <c r="J69">
        <f>SUM(J65:J68)</f>
        <v>100</v>
      </c>
      <c r="N69" t="s">
        <v>30</v>
      </c>
    </row>
    <row r="70" spans="1:14" ht="20.25">
      <c r="A70" s="5" t="s">
        <v>89</v>
      </c>
      <c r="E70" s="10" t="s">
        <v>36</v>
      </c>
      <c r="F70" s="12"/>
      <c r="G70" s="10" t="s">
        <v>37</v>
      </c>
      <c r="H70" s="12"/>
      <c r="I70" s="10" t="s">
        <v>38</v>
      </c>
      <c r="J70" s="12"/>
      <c r="K70" s="10" t="s">
        <v>39</v>
      </c>
      <c r="N70" t="s">
        <v>30</v>
      </c>
    </row>
    <row r="71" spans="2:14" ht="15">
      <c r="B71" s="7" t="s">
        <v>90</v>
      </c>
      <c r="E71">
        <f>SUM(E65:E68)</f>
        <v>568000</v>
      </c>
      <c r="G71">
        <f>SUM(G65:G68)</f>
        <v>168000</v>
      </c>
      <c r="I71">
        <f>SUM(I65:I68)</f>
        <v>55800</v>
      </c>
      <c r="K71" s="2">
        <f>SUM(K65:K68)</f>
        <v>32500</v>
      </c>
      <c r="N71" t="s">
        <v>30</v>
      </c>
    </row>
    <row r="72" spans="2:14" ht="15">
      <c r="B72" s="8" t="s">
        <v>91</v>
      </c>
      <c r="E72">
        <f>SUM(E51)</f>
        <v>577900</v>
      </c>
      <c r="G72">
        <f>SUM(G51)</f>
        <v>177350</v>
      </c>
      <c r="I72">
        <f>SUM(I51)</f>
        <v>61590</v>
      </c>
      <c r="K72" s="2">
        <f>SUM(K51)</f>
        <v>35650</v>
      </c>
      <c r="N72" t="s">
        <v>30</v>
      </c>
    </row>
    <row r="73" spans="5:14" ht="15">
      <c r="E73" t="s">
        <v>66</v>
      </c>
      <c r="G73" t="s">
        <v>66</v>
      </c>
      <c r="I73" t="s">
        <v>66</v>
      </c>
      <c r="K73" s="2" t="s">
        <v>66</v>
      </c>
      <c r="N73" t="s">
        <v>30</v>
      </c>
    </row>
    <row r="74" spans="1:14" ht="15">
      <c r="A74" t="s">
        <v>92</v>
      </c>
      <c r="E74">
        <f>E71-E51</f>
        <v>-9900</v>
      </c>
      <c r="G74">
        <f>G71-G51</f>
        <v>-9350</v>
      </c>
      <c r="I74">
        <f>I71-I51</f>
        <v>-5790</v>
      </c>
      <c r="K74" s="2">
        <f>K71-K51</f>
        <v>-3150</v>
      </c>
      <c r="N74" t="s">
        <v>30</v>
      </c>
    </row>
    <row r="75" spans="11:14" ht="15">
      <c r="K75" s="2"/>
      <c r="N75" t="s">
        <v>30</v>
      </c>
    </row>
    <row r="76" spans="3:14" ht="15">
      <c r="C76" s="8" t="s">
        <v>93</v>
      </c>
      <c r="E76" s="1">
        <f>100*(E74/E71)</f>
        <v>-1.7429577464788732</v>
      </c>
      <c r="G76" s="1">
        <f>100*(G74/G71)</f>
        <v>-5.56547619047619</v>
      </c>
      <c r="H76" s="1"/>
      <c r="I76" s="1">
        <f>100*(I74/I71)</f>
        <v>-10.376344086021504</v>
      </c>
      <c r="J76" s="1"/>
      <c r="K76" s="1">
        <f>100*(K74/K71)</f>
        <v>-9.692307692307692</v>
      </c>
      <c r="N76" t="s">
        <v>30</v>
      </c>
    </row>
    <row r="77" ht="15">
      <c r="N77" t="s">
        <v>30</v>
      </c>
    </row>
    <row r="78" spans="1:14" ht="20.25">
      <c r="A78" s="5" t="s">
        <v>94</v>
      </c>
      <c r="E78" s="10" t="s">
        <v>36</v>
      </c>
      <c r="F78" s="12"/>
      <c r="G78" s="10" t="s">
        <v>37</v>
      </c>
      <c r="H78" s="12"/>
      <c r="I78" s="10" t="s">
        <v>38</v>
      </c>
      <c r="J78" s="12"/>
      <c r="K78" s="10" t="s">
        <v>39</v>
      </c>
      <c r="N78" t="s">
        <v>30</v>
      </c>
    </row>
    <row r="79" spans="1:14" ht="15">
      <c r="A79" t="s">
        <v>95</v>
      </c>
      <c r="E79" s="2">
        <v>131</v>
      </c>
      <c r="F79" s="2"/>
      <c r="G79" s="2">
        <v>72</v>
      </c>
      <c r="H79" s="2" t="s">
        <v>96</v>
      </c>
      <c r="I79" s="2">
        <f>(38+24+23+23+21)/5</f>
        <v>25.8</v>
      </c>
      <c r="J79" s="2"/>
      <c r="K79" s="2">
        <f>(11+14)/2</f>
        <v>12.5</v>
      </c>
      <c r="L79" s="2"/>
      <c r="M79" s="2"/>
      <c r="N79" t="s">
        <v>30</v>
      </c>
    </row>
    <row r="80" spans="1:14" ht="18">
      <c r="A80" t="s">
        <v>97</v>
      </c>
      <c r="B80" s="6">
        <v>1.5</v>
      </c>
      <c r="C80" t="s">
        <v>98</v>
      </c>
      <c r="E80" s="2"/>
      <c r="F80" s="2"/>
      <c r="G80" t="s">
        <v>99</v>
      </c>
      <c r="H80" s="2"/>
      <c r="I80" s="2"/>
      <c r="J80" s="2"/>
      <c r="K80" s="2"/>
      <c r="L80" s="2"/>
      <c r="M80" s="2"/>
      <c r="N80" t="s">
        <v>30</v>
      </c>
    </row>
    <row r="81" spans="1:14" s="48" customFormat="1" ht="15">
      <c r="A81" s="48" t="s">
        <v>100</v>
      </c>
      <c r="E81" s="49">
        <f>(E79/$B$80)*0.75</f>
        <v>65.5</v>
      </c>
      <c r="F81" s="49"/>
      <c r="G81" s="49">
        <f>(G79/$B$80)*0.75</f>
        <v>36</v>
      </c>
      <c r="H81" s="49"/>
      <c r="I81" s="49">
        <f>I79/$B$80</f>
        <v>17.2</v>
      </c>
      <c r="J81" s="49"/>
      <c r="K81" s="49">
        <f>K79/$B$80</f>
        <v>8.333333333333334</v>
      </c>
      <c r="L81" s="49"/>
      <c r="M81" s="49"/>
      <c r="N81" s="48" t="s">
        <v>30</v>
      </c>
    </row>
    <row r="82" spans="13:14" ht="15">
      <c r="M82" s="2"/>
      <c r="N82" t="s">
        <v>30</v>
      </c>
    </row>
    <row r="83" spans="1:14" ht="20.25">
      <c r="A83" s="5" t="s">
        <v>101</v>
      </c>
      <c r="E83" s="10" t="s">
        <v>36</v>
      </c>
      <c r="F83" s="12"/>
      <c r="G83" s="10" t="s">
        <v>37</v>
      </c>
      <c r="H83" s="12"/>
      <c r="I83" s="10" t="s">
        <v>38</v>
      </c>
      <c r="J83" s="12"/>
      <c r="K83" s="10" t="s">
        <v>39</v>
      </c>
      <c r="N83" t="s">
        <v>30</v>
      </c>
    </row>
    <row r="84" spans="1:14" ht="15">
      <c r="A84" t="s">
        <v>102</v>
      </c>
      <c r="E84" s="1">
        <f>SUM(E81)</f>
        <v>65.5</v>
      </c>
      <c r="F84" s="2"/>
      <c r="G84" s="1">
        <f>SUM(G81)</f>
        <v>36</v>
      </c>
      <c r="H84" s="1"/>
      <c r="I84" s="1">
        <f>SUM(I81)</f>
        <v>17.2</v>
      </c>
      <c r="J84" s="1"/>
      <c r="K84" s="1">
        <f>SUM(K81)</f>
        <v>8.333333333333334</v>
      </c>
      <c r="L84" s="1"/>
      <c r="M84" s="2"/>
      <c r="N84" t="s">
        <v>30</v>
      </c>
    </row>
    <row r="85" spans="5:14" ht="15">
      <c r="E85" s="2"/>
      <c r="F85" s="2"/>
      <c r="G85" s="2"/>
      <c r="H85" s="2"/>
      <c r="I85" s="2"/>
      <c r="J85" s="2"/>
      <c r="K85" s="2"/>
      <c r="L85" s="2"/>
      <c r="M85" s="2"/>
      <c r="N85" t="s">
        <v>30</v>
      </c>
    </row>
    <row r="86" spans="1:14" ht="15">
      <c r="A86" t="s">
        <v>103</v>
      </c>
      <c r="E86" s="2">
        <f>(E44*6)+E45</f>
        <v>791</v>
      </c>
      <c r="F86" s="2"/>
      <c r="G86" s="2">
        <f>(G44*6)+G45</f>
        <v>244.5</v>
      </c>
      <c r="H86" s="2"/>
      <c r="I86" s="2">
        <f>(I44*6)+I45</f>
        <v>85.7</v>
      </c>
      <c r="J86" s="2"/>
      <c r="K86" s="2">
        <f>(K44*6)+K45</f>
        <v>49.5</v>
      </c>
      <c r="L86" s="2"/>
      <c r="M86" s="2"/>
      <c r="N86" t="s">
        <v>30</v>
      </c>
    </row>
    <row r="87" spans="1:14" ht="15">
      <c r="A87" t="s">
        <v>104</v>
      </c>
      <c r="E87" s="2">
        <f>E84*9</f>
        <v>589.5</v>
      </c>
      <c r="F87" s="2"/>
      <c r="G87" s="2">
        <f>G84*9</f>
        <v>324</v>
      </c>
      <c r="H87" s="2"/>
      <c r="I87" s="2">
        <f>I84*9</f>
        <v>154.79999999999998</v>
      </c>
      <c r="J87" s="2"/>
      <c r="K87" s="2">
        <f>K84*9</f>
        <v>75</v>
      </c>
      <c r="L87" s="2"/>
      <c r="M87" s="2"/>
      <c r="N87" t="s">
        <v>30</v>
      </c>
    </row>
    <row r="88" spans="5:14" ht="15">
      <c r="E88" s="2" t="s">
        <v>66</v>
      </c>
      <c r="F88" s="2"/>
      <c r="G88" s="2" t="s">
        <v>66</v>
      </c>
      <c r="H88" s="2"/>
      <c r="I88" s="2" t="s">
        <v>66</v>
      </c>
      <c r="J88" s="2"/>
      <c r="K88" s="2" t="s">
        <v>66</v>
      </c>
      <c r="L88" s="2"/>
      <c r="M88" s="2"/>
      <c r="N88" t="s">
        <v>30</v>
      </c>
    </row>
    <row r="89" spans="1:14" ht="15">
      <c r="A89" t="s">
        <v>105</v>
      </c>
      <c r="E89" s="2">
        <f>E86-E87</f>
        <v>201.5</v>
      </c>
      <c r="F89" s="2"/>
      <c r="G89" s="2">
        <f>G86-G87</f>
        <v>-79.5</v>
      </c>
      <c r="H89" s="2"/>
      <c r="I89" s="2">
        <f>I86-I87</f>
        <v>-69.09999999999998</v>
      </c>
      <c r="J89" s="2"/>
      <c r="K89" s="2">
        <f>K86-K87</f>
        <v>-25.5</v>
      </c>
      <c r="L89" s="2"/>
      <c r="M89" s="2"/>
      <c r="N89" t="s">
        <v>30</v>
      </c>
    </row>
    <row r="90" spans="1:14" ht="15">
      <c r="A90" t="s">
        <v>93</v>
      </c>
      <c r="E90" s="2">
        <f>100*(E89/E87)</f>
        <v>34.18150975402884</v>
      </c>
      <c r="F90" s="2"/>
      <c r="G90" s="2">
        <f>100*(G89/G87)</f>
        <v>-24.537037037037038</v>
      </c>
      <c r="H90" s="2"/>
      <c r="I90" s="2">
        <f>100*(I89/I87)</f>
        <v>-44.63824289405684</v>
      </c>
      <c r="J90" s="2"/>
      <c r="K90" s="2">
        <f>100*(K89/K87)</f>
        <v>-34</v>
      </c>
      <c r="L90" s="2"/>
      <c r="M90" s="2"/>
      <c r="N90" t="s">
        <v>30</v>
      </c>
    </row>
    <row r="91" spans="1:14" ht="15">
      <c r="A91" t="s">
        <v>106</v>
      </c>
      <c r="E91" s="2">
        <f>E89/9</f>
        <v>22.38888888888889</v>
      </c>
      <c r="F91" s="2"/>
      <c r="G91" s="2">
        <f>G89/9</f>
        <v>-8.833333333333334</v>
      </c>
      <c r="H91" s="2"/>
      <c r="I91" s="2">
        <f>I89/9</f>
        <v>-7.677777777777775</v>
      </c>
      <c r="J91" s="2"/>
      <c r="K91" s="2">
        <f>K89/9</f>
        <v>-2.8333333333333335</v>
      </c>
      <c r="L91" s="2"/>
      <c r="M91" s="2"/>
      <c r="N91" t="s">
        <v>30</v>
      </c>
    </row>
    <row r="92" spans="5:13" ht="15">
      <c r="E92" s="2"/>
      <c r="F92" s="2"/>
      <c r="G92" s="2"/>
      <c r="H92" s="2"/>
      <c r="I92" s="2"/>
      <c r="J92" s="2"/>
      <c r="K92" s="2"/>
      <c r="L92" s="2"/>
      <c r="M92" s="2"/>
    </row>
    <row r="93" spans="1:13" s="48" customFormat="1" ht="20.25">
      <c r="A93" s="47" t="s">
        <v>185</v>
      </c>
      <c r="E93" s="10" t="s">
        <v>36</v>
      </c>
      <c r="F93" s="12"/>
      <c r="G93" s="10" t="s">
        <v>37</v>
      </c>
      <c r="H93" s="12"/>
      <c r="I93" s="10" t="s">
        <v>38</v>
      </c>
      <c r="J93" s="12"/>
      <c r="K93" s="10" t="s">
        <v>39</v>
      </c>
      <c r="L93" s="49"/>
      <c r="M93" s="49"/>
    </row>
    <row r="94" spans="1:13" s="48" customFormat="1" ht="15">
      <c r="A94" s="50" t="s">
        <v>188</v>
      </c>
      <c r="B94" s="50">
        <v>3.3</v>
      </c>
      <c r="D94" s="48" t="s">
        <v>411</v>
      </c>
      <c r="E94" s="49"/>
      <c r="F94" s="49"/>
      <c r="G94" s="49"/>
      <c r="H94" s="49"/>
      <c r="I94" s="49"/>
      <c r="J94" s="49"/>
      <c r="K94" s="49"/>
      <c r="L94" s="49"/>
      <c r="M94" s="49"/>
    </row>
    <row r="95" spans="1:13" s="48" customFormat="1" ht="15">
      <c r="A95" s="69" t="s">
        <v>436</v>
      </c>
      <c r="B95" s="50">
        <v>0.75</v>
      </c>
      <c r="E95" s="49">
        <f>E81*$B$98</f>
        <v>265.275</v>
      </c>
      <c r="F95" s="49"/>
      <c r="G95" s="49">
        <f>G81*$B$98</f>
        <v>145.79999999999998</v>
      </c>
      <c r="H95" s="49"/>
      <c r="I95" s="49">
        <f>I81*$B$98</f>
        <v>69.66</v>
      </c>
      <c r="J95" s="49"/>
      <c r="K95" s="49">
        <f>K81*$B$98</f>
        <v>33.75</v>
      </c>
      <c r="L95" s="49"/>
      <c r="M95" s="49"/>
    </row>
    <row r="96" spans="1:13" s="48" customFormat="1" ht="15">
      <c r="A96" s="50" t="s">
        <v>67</v>
      </c>
      <c r="B96" s="50">
        <f>SUM(B94:B95)</f>
        <v>4.05</v>
      </c>
      <c r="D96" s="48" t="s">
        <v>414</v>
      </c>
      <c r="E96" s="49"/>
      <c r="F96" s="49"/>
      <c r="G96" s="49"/>
      <c r="H96" s="49"/>
      <c r="I96" s="49"/>
      <c r="J96" s="49"/>
      <c r="K96" s="49"/>
      <c r="L96" s="49"/>
      <c r="M96" s="49"/>
    </row>
    <row r="97" spans="1:13" s="48" customFormat="1" ht="15.75" thickBot="1">
      <c r="A97" s="48" t="s">
        <v>187</v>
      </c>
      <c r="B97" s="48" t="s">
        <v>186</v>
      </c>
      <c r="D97" s="64"/>
      <c r="E97" s="64">
        <f>SUM(E45)</f>
        <v>65</v>
      </c>
      <c r="F97" s="64"/>
      <c r="G97" s="64">
        <f>SUM(G45)</f>
        <v>58.5</v>
      </c>
      <c r="H97" s="70"/>
      <c r="I97" s="64">
        <f>SUM(I45)</f>
        <v>37.7</v>
      </c>
      <c r="J97" s="70"/>
      <c r="K97" s="64">
        <f>SUM(K45)</f>
        <v>19.5</v>
      </c>
      <c r="L97" s="49"/>
      <c r="M97" s="49"/>
    </row>
    <row r="98" spans="1:13" s="48" customFormat="1" ht="18">
      <c r="A98" s="48" t="s">
        <v>412</v>
      </c>
      <c r="B98" s="6">
        <f>SUM(B96)</f>
        <v>4.05</v>
      </c>
      <c r="D98" s="48" t="s">
        <v>437</v>
      </c>
      <c r="E98" s="53">
        <f>E95-E97</f>
        <v>200.27499999999998</v>
      </c>
      <c r="G98" s="53">
        <f>G95-G97</f>
        <v>87.29999999999998</v>
      </c>
      <c r="H98" s="49"/>
      <c r="I98" s="53">
        <f>I95-I97</f>
        <v>31.959999999999994</v>
      </c>
      <c r="J98" s="49"/>
      <c r="K98" s="53">
        <f>K95-K97</f>
        <v>14.25</v>
      </c>
      <c r="L98" s="49"/>
      <c r="M98" s="49"/>
    </row>
    <row r="99" spans="1:13" s="48" customFormat="1" ht="15">
      <c r="A99" s="51" t="s">
        <v>409</v>
      </c>
      <c r="E99" s="49"/>
      <c r="F99" s="49"/>
      <c r="G99" s="49"/>
      <c r="H99" s="49"/>
      <c r="I99" s="49"/>
      <c r="J99" s="49"/>
      <c r="K99" s="49"/>
      <c r="L99" s="49"/>
      <c r="M99" s="49"/>
    </row>
    <row r="100" spans="5:13" ht="15">
      <c r="E100" s="2"/>
      <c r="F100" s="2"/>
      <c r="G100" s="2"/>
      <c r="H100" s="2"/>
      <c r="I100" s="2"/>
      <c r="J100" s="2"/>
      <c r="K100" s="2"/>
      <c r="L100" s="2"/>
      <c r="M100" s="2"/>
    </row>
    <row r="101" spans="1:14" ht="15">
      <c r="A101" t="s">
        <v>107</v>
      </c>
      <c r="B101" t="s">
        <v>107</v>
      </c>
      <c r="C101" t="s">
        <v>107</v>
      </c>
      <c r="D101" t="s">
        <v>107</v>
      </c>
      <c r="E101" s="2" t="s">
        <v>107</v>
      </c>
      <c r="F101" s="2" t="s">
        <v>107</v>
      </c>
      <c r="G101" s="2" t="s">
        <v>107</v>
      </c>
      <c r="H101" s="2" t="s">
        <v>107</v>
      </c>
      <c r="I101" s="2" t="s">
        <v>107</v>
      </c>
      <c r="J101" s="2" t="s">
        <v>107</v>
      </c>
      <c r="K101" s="2" t="s">
        <v>107</v>
      </c>
      <c r="L101" s="2" t="s">
        <v>107</v>
      </c>
      <c r="M101" s="2"/>
      <c r="N101" t="s">
        <v>30</v>
      </c>
    </row>
    <row r="102" spans="1:14" ht="18">
      <c r="A102" s="5"/>
      <c r="B102" s="5"/>
      <c r="D102" s="71" t="s">
        <v>109</v>
      </c>
      <c r="N102" t="s">
        <v>30</v>
      </c>
    </row>
    <row r="103" spans="1:14" ht="18">
      <c r="A103" s="5" t="s">
        <v>110</v>
      </c>
      <c r="B103" s="5"/>
      <c r="N103" t="s">
        <v>30</v>
      </c>
    </row>
    <row r="104" spans="1:14" ht="18">
      <c r="A104" s="5" t="s">
        <v>111</v>
      </c>
      <c r="B104" s="5"/>
      <c r="E104" s="11" t="s">
        <v>112</v>
      </c>
      <c r="F104" s="11"/>
      <c r="G104" s="11"/>
      <c r="H104" s="11"/>
      <c r="N104" t="s">
        <v>30</v>
      </c>
    </row>
    <row r="105" spans="1:14" ht="18">
      <c r="A105" s="5" t="s">
        <v>113</v>
      </c>
      <c r="B105" s="5"/>
      <c r="E105" t="s">
        <v>114</v>
      </c>
      <c r="N105" t="s">
        <v>30</v>
      </c>
    </row>
    <row r="106" spans="5:14" ht="15">
      <c r="E106" t="s">
        <v>115</v>
      </c>
      <c r="N106" t="s">
        <v>30</v>
      </c>
    </row>
    <row r="107" spans="2:14" ht="15">
      <c r="B107" t="s">
        <v>116</v>
      </c>
      <c r="D107" t="s">
        <v>82</v>
      </c>
      <c r="E107">
        <v>3</v>
      </c>
      <c r="F107" t="s">
        <v>117</v>
      </c>
      <c r="G107" s="2">
        <f>SUM(C120)</f>
        <v>316.8</v>
      </c>
      <c r="H107" t="s">
        <v>118</v>
      </c>
      <c r="I107" s="2">
        <f>G107*E107</f>
        <v>950.4000000000001</v>
      </c>
      <c r="J107" t="s">
        <v>119</v>
      </c>
      <c r="N107" t="s">
        <v>30</v>
      </c>
    </row>
    <row r="108" spans="1:14" ht="15">
      <c r="A108" t="s">
        <v>120</v>
      </c>
      <c r="C108">
        <v>1</v>
      </c>
      <c r="D108" s="9">
        <f>100*(C108/$C$112)</f>
        <v>4</v>
      </c>
      <c r="E108" t="s">
        <v>121</v>
      </c>
      <c r="N108" t="s">
        <v>30</v>
      </c>
    </row>
    <row r="109" spans="1:14" ht="15">
      <c r="A109" t="s">
        <v>122</v>
      </c>
      <c r="C109">
        <v>9</v>
      </c>
      <c r="D109" s="9">
        <f>100*(C109/$C$112)</f>
        <v>36</v>
      </c>
      <c r="N109" t="s">
        <v>30</v>
      </c>
    </row>
    <row r="110" spans="1:14" ht="15">
      <c r="A110" t="s">
        <v>123</v>
      </c>
      <c r="C110">
        <v>15</v>
      </c>
      <c r="D110" s="9">
        <f>100*(C110/$C$112)</f>
        <v>60</v>
      </c>
      <c r="N110" t="s">
        <v>30</v>
      </c>
    </row>
    <row r="111" spans="3:14" ht="15.75" thickBot="1">
      <c r="C111" s="78" t="s">
        <v>66</v>
      </c>
      <c r="N111" t="s">
        <v>30</v>
      </c>
    </row>
    <row r="112" spans="1:14" ht="18">
      <c r="A112" t="s">
        <v>124</v>
      </c>
      <c r="C112">
        <f>SUM(C108:C110)</f>
        <v>25</v>
      </c>
      <c r="E112" s="5" t="s">
        <v>125</v>
      </c>
      <c r="F112" s="5"/>
      <c r="G112" s="5"/>
      <c r="H112" s="5"/>
      <c r="N112" t="s">
        <v>30</v>
      </c>
    </row>
    <row r="113" ht="15">
      <c r="N113" t="s">
        <v>30</v>
      </c>
    </row>
    <row r="114" spans="5:14" ht="15">
      <c r="E114" t="s">
        <v>126</v>
      </c>
      <c r="N114" t="s">
        <v>30</v>
      </c>
    </row>
    <row r="115" spans="1:14" ht="15">
      <c r="A115" t="s">
        <v>127</v>
      </c>
      <c r="C115" t="s">
        <v>119</v>
      </c>
      <c r="D115" t="s">
        <v>82</v>
      </c>
      <c r="E115" t="s">
        <v>128</v>
      </c>
      <c r="N115" t="s">
        <v>30</v>
      </c>
    </row>
    <row r="116" spans="1:14" ht="15">
      <c r="A116" t="s">
        <v>129</v>
      </c>
      <c r="C116" s="2">
        <f>C108+G84</f>
        <v>37</v>
      </c>
      <c r="D116" s="9">
        <f>100*(C116/$C$120)</f>
        <v>11.679292929292929</v>
      </c>
      <c r="E116" t="s">
        <v>130</v>
      </c>
      <c r="N116" t="s">
        <v>30</v>
      </c>
    </row>
    <row r="117" spans="1:14" ht="15">
      <c r="A117" t="s">
        <v>131</v>
      </c>
      <c r="C117" s="2">
        <f>C109*I84</f>
        <v>154.79999999999998</v>
      </c>
      <c r="D117" s="9">
        <f>100*(C117/$C$120)</f>
        <v>48.86363636363636</v>
      </c>
      <c r="E117" t="s">
        <v>132</v>
      </c>
      <c r="N117" t="s">
        <v>30</v>
      </c>
    </row>
    <row r="118" spans="1:14" ht="15">
      <c r="A118" t="s">
        <v>133</v>
      </c>
      <c r="C118" s="2">
        <f>C110*K84</f>
        <v>125.00000000000001</v>
      </c>
      <c r="D118" s="9">
        <f>100*(C118/$C$120)</f>
        <v>39.45707070707071</v>
      </c>
      <c r="E118" t="s">
        <v>134</v>
      </c>
      <c r="N118" t="s">
        <v>30</v>
      </c>
    </row>
    <row r="119" spans="3:14" ht="15.75" thickBot="1">
      <c r="C119" s="79" t="s">
        <v>66</v>
      </c>
      <c r="D119" s="9"/>
      <c r="E119" t="s">
        <v>135</v>
      </c>
      <c r="N119" t="s">
        <v>30</v>
      </c>
    </row>
    <row r="120" spans="1:14" ht="15">
      <c r="A120" t="s">
        <v>124</v>
      </c>
      <c r="C120" s="2">
        <f>SUM(C116:C118)</f>
        <v>316.8</v>
      </c>
      <c r="E120" t="s">
        <v>136</v>
      </c>
      <c r="N120" t="s">
        <v>30</v>
      </c>
    </row>
    <row r="121" spans="5:14" ht="15">
      <c r="E121" t="s">
        <v>137</v>
      </c>
      <c r="H121" s="1">
        <v>0.1</v>
      </c>
      <c r="I121" t="s">
        <v>82</v>
      </c>
      <c r="N121" t="s">
        <v>30</v>
      </c>
    </row>
    <row r="122" spans="5:14" ht="15">
      <c r="E122" t="s">
        <v>138</v>
      </c>
      <c r="H122" s="1">
        <v>0.1</v>
      </c>
      <c r="I122" t="s">
        <v>82</v>
      </c>
      <c r="N122" t="s">
        <v>30</v>
      </c>
    </row>
    <row r="123" ht="15">
      <c r="N123" t="s">
        <v>30</v>
      </c>
    </row>
    <row r="124" ht="15">
      <c r="N124" t="s">
        <v>30</v>
      </c>
    </row>
    <row r="125" spans="1:14" ht="15">
      <c r="A125" t="s">
        <v>139</v>
      </c>
      <c r="E125" s="8" t="s">
        <v>36</v>
      </c>
      <c r="F125" s="8"/>
      <c r="G125" s="8" t="s">
        <v>140</v>
      </c>
      <c r="H125" s="8"/>
      <c r="I125" s="8" t="s">
        <v>38</v>
      </c>
      <c r="J125" s="8"/>
      <c r="K125" s="8" t="s">
        <v>39</v>
      </c>
      <c r="L125" s="8"/>
      <c r="N125" t="s">
        <v>30</v>
      </c>
    </row>
    <row r="126" spans="1:14" ht="15">
      <c r="A126" t="s">
        <v>141</v>
      </c>
      <c r="E126" s="8" t="s">
        <v>142</v>
      </c>
      <c r="F126" s="8"/>
      <c r="G126" s="8" t="s">
        <v>143</v>
      </c>
      <c r="H126" s="8"/>
      <c r="I126" s="8" t="s">
        <v>144</v>
      </c>
      <c r="J126" s="8"/>
      <c r="K126" s="8" t="s">
        <v>145</v>
      </c>
      <c r="N126" t="s">
        <v>30</v>
      </c>
    </row>
    <row r="127" spans="1:14" ht="15">
      <c r="A127" t="s">
        <v>146</v>
      </c>
      <c r="E127">
        <v>0</v>
      </c>
      <c r="G127">
        <v>1</v>
      </c>
      <c r="I127">
        <v>9</v>
      </c>
      <c r="K127">
        <v>15</v>
      </c>
      <c r="N127" t="s">
        <v>30</v>
      </c>
    </row>
    <row r="128" ht="15">
      <c r="N128" t="s">
        <v>30</v>
      </c>
    </row>
    <row r="129" spans="1:14" ht="15">
      <c r="A129" t="s">
        <v>147</v>
      </c>
      <c r="E129" s="1"/>
      <c r="F129" s="1"/>
      <c r="G129" s="1">
        <f>SUM(G86)</f>
        <v>244.5</v>
      </c>
      <c r="H129" s="1"/>
      <c r="I129" s="1">
        <f>SUM(I86)</f>
        <v>85.7</v>
      </c>
      <c r="J129" s="1"/>
      <c r="K129" s="1">
        <f>SUM(K86)</f>
        <v>49.5</v>
      </c>
      <c r="N129" t="s">
        <v>30</v>
      </c>
    </row>
    <row r="130" spans="1:14" ht="15">
      <c r="A130" t="s">
        <v>148</v>
      </c>
      <c r="E130" s="1"/>
      <c r="F130" s="1"/>
      <c r="G130" s="1">
        <f>SUM(G87)</f>
        <v>324</v>
      </c>
      <c r="H130" s="1"/>
      <c r="I130" s="1">
        <f>SUM(I87)</f>
        <v>154.79999999999998</v>
      </c>
      <c r="J130" s="1"/>
      <c r="K130" s="1">
        <f>SUM(K87)</f>
        <v>75</v>
      </c>
      <c r="N130" t="s">
        <v>30</v>
      </c>
    </row>
    <row r="131" spans="1:14" ht="15">
      <c r="A131" t="s">
        <v>149</v>
      </c>
      <c r="C131" s="2"/>
      <c r="D131" s="2"/>
      <c r="E131" s="1"/>
      <c r="F131" s="1"/>
      <c r="G131" s="1">
        <v>0</v>
      </c>
      <c r="H131" s="1"/>
      <c r="I131" s="1">
        <f>I129*H121</f>
        <v>8.57</v>
      </c>
      <c r="J131" s="1"/>
      <c r="K131" s="1">
        <f>K129*H121</f>
        <v>4.95</v>
      </c>
      <c r="L131" s="2"/>
      <c r="N131" t="s">
        <v>30</v>
      </c>
    </row>
    <row r="132" spans="1:14" ht="15">
      <c r="A132" t="s">
        <v>150</v>
      </c>
      <c r="C132" s="2"/>
      <c r="D132" s="2"/>
      <c r="E132" s="1"/>
      <c r="F132" s="1"/>
      <c r="G132" s="1">
        <v>0</v>
      </c>
      <c r="H132" s="1"/>
      <c r="I132" s="1">
        <v>0</v>
      </c>
      <c r="J132" s="1"/>
      <c r="K132" s="1">
        <f>K129*H122</f>
        <v>4.95</v>
      </c>
      <c r="L132" s="2"/>
      <c r="N132" t="s">
        <v>30</v>
      </c>
    </row>
    <row r="133" spans="1:14" ht="15">
      <c r="A133" t="s">
        <v>151</v>
      </c>
      <c r="C133" s="2"/>
      <c r="D133" s="2"/>
      <c r="F133" s="1"/>
      <c r="G133" s="1">
        <v>0</v>
      </c>
      <c r="H133" s="1"/>
      <c r="I133" s="1">
        <f>SUM(I131:I132)</f>
        <v>8.57</v>
      </c>
      <c r="J133" s="1"/>
      <c r="K133" s="1">
        <f>SUM(K131:K132)</f>
        <v>9.9</v>
      </c>
      <c r="L133" s="2"/>
      <c r="N133" t="s">
        <v>30</v>
      </c>
    </row>
    <row r="134" spans="1:14" ht="15">
      <c r="A134" t="s">
        <v>152</v>
      </c>
      <c r="C134" s="2">
        <f>(SUM(I131)*I127+SUM(K131)*K127)+$G$131</f>
        <v>151.38</v>
      </c>
      <c r="D134" s="2"/>
      <c r="E134" s="1" t="s">
        <v>153</v>
      </c>
      <c r="F134" s="1"/>
      <c r="G134" s="1"/>
      <c r="H134" s="1"/>
      <c r="I134" s="1"/>
      <c r="J134" s="1"/>
      <c r="K134" s="1"/>
      <c r="L134" s="2"/>
      <c r="N134" t="s">
        <v>30</v>
      </c>
    </row>
    <row r="135" spans="1:14" ht="15">
      <c r="A135" t="s">
        <v>154</v>
      </c>
      <c r="C135" s="1">
        <f>C134/4</f>
        <v>37.845</v>
      </c>
      <c r="E135" t="s">
        <v>155</v>
      </c>
      <c r="N135" t="s">
        <v>30</v>
      </c>
    </row>
    <row r="136" spans="1:14" ht="15">
      <c r="A136" t="s">
        <v>156</v>
      </c>
      <c r="C136" s="1">
        <f>C134/4</f>
        <v>37.845</v>
      </c>
      <c r="D136" t="s">
        <v>118</v>
      </c>
      <c r="E136">
        <f>C136/9</f>
        <v>4.205</v>
      </c>
      <c r="N136" t="s">
        <v>30</v>
      </c>
    </row>
    <row r="137" spans="1:14" ht="15">
      <c r="A137" t="s">
        <v>157</v>
      </c>
      <c r="C137" s="2"/>
      <c r="D137" s="2"/>
      <c r="E137" s="1"/>
      <c r="F137" s="1"/>
      <c r="G137" s="1">
        <f>(C134)/2</f>
        <v>75.69</v>
      </c>
      <c r="H137" s="1"/>
      <c r="I137" s="1">
        <v>0</v>
      </c>
      <c r="J137" s="1"/>
      <c r="K137" s="1">
        <v>0</v>
      </c>
      <c r="L137" s="2"/>
      <c r="N137" t="s">
        <v>30</v>
      </c>
    </row>
    <row r="138" spans="1:14" ht="15">
      <c r="A138" t="s">
        <v>158</v>
      </c>
      <c r="C138" s="2"/>
      <c r="D138" s="2"/>
      <c r="E138" s="1"/>
      <c r="F138" s="1"/>
      <c r="G138" s="1">
        <f>K133*6</f>
        <v>59.400000000000006</v>
      </c>
      <c r="H138" s="1"/>
      <c r="I138" s="1">
        <f>K133*1</f>
        <v>9.9</v>
      </c>
      <c r="J138" s="1"/>
      <c r="K138" s="1">
        <v>0</v>
      </c>
      <c r="L138" s="2"/>
      <c r="N138" t="s">
        <v>30</v>
      </c>
    </row>
    <row r="139" spans="1:14" ht="15">
      <c r="A139" t="s">
        <v>159</v>
      </c>
      <c r="C139" s="2"/>
      <c r="D139" s="2"/>
      <c r="E139" s="1"/>
      <c r="F139" s="1"/>
      <c r="G139" s="1">
        <f>SUM(G137:G138)</f>
        <v>135.09</v>
      </c>
      <c r="H139" s="1"/>
      <c r="I139" s="1">
        <f>SUM(I137:I138)</f>
        <v>9.9</v>
      </c>
      <c r="J139" s="1"/>
      <c r="K139" s="1">
        <f>SUM(K137:K138)</f>
        <v>0</v>
      </c>
      <c r="L139" s="2"/>
      <c r="N139" t="s">
        <v>30</v>
      </c>
    </row>
    <row r="140" spans="1:14" ht="15">
      <c r="A140" t="s">
        <v>160</v>
      </c>
      <c r="C140" s="2"/>
      <c r="D140" s="2"/>
      <c r="E140" s="1"/>
      <c r="F140" s="1"/>
      <c r="G140" s="1">
        <f>(G129+G139)-(G133+G130)</f>
        <v>55.59000000000003</v>
      </c>
      <c r="H140" s="1"/>
      <c r="I140" s="1">
        <f>(I129+I139)-(I133+I130)</f>
        <v>-67.76999999999997</v>
      </c>
      <c r="J140" s="1"/>
      <c r="K140" s="1">
        <f>(K129+K139)-(K133+K130)</f>
        <v>-35.400000000000006</v>
      </c>
      <c r="L140" s="2"/>
      <c r="N140" t="s">
        <v>30</v>
      </c>
    </row>
    <row r="141" spans="1:14" ht="15">
      <c r="A141" t="s">
        <v>161</v>
      </c>
      <c r="C141" s="2"/>
      <c r="D141" s="2"/>
      <c r="E141" s="1"/>
      <c r="F141" s="1"/>
      <c r="G141" s="1">
        <f>100*(G140/G129)</f>
        <v>22.73619631901842</v>
      </c>
      <c r="H141" s="1"/>
      <c r="I141" s="1">
        <f>100*(I140/I129)</f>
        <v>-79.07817969661606</v>
      </c>
      <c r="J141" s="1"/>
      <c r="K141" s="1">
        <f>100*(K140/K129)</f>
        <v>-71.51515151515153</v>
      </c>
      <c r="L141" s="1"/>
      <c r="N141" t="s">
        <v>30</v>
      </c>
    </row>
    <row r="142" spans="3:14" ht="15">
      <c r="C142" s="2"/>
      <c r="D142" s="2"/>
      <c r="E142" s="2"/>
      <c r="F142" s="2"/>
      <c r="G142" s="2"/>
      <c r="H142" s="2"/>
      <c r="I142" s="2"/>
      <c r="J142" s="2"/>
      <c r="K142" s="2"/>
      <c r="L142" s="2"/>
      <c r="N142" t="s">
        <v>30</v>
      </c>
    </row>
    <row r="143" spans="1:14" ht="15">
      <c r="A143" t="s">
        <v>66</v>
      </c>
      <c r="B143" t="s">
        <v>66</v>
      </c>
      <c r="C143" t="s">
        <v>66</v>
      </c>
      <c r="D143" t="s">
        <v>66</v>
      </c>
      <c r="E143" t="s">
        <v>66</v>
      </c>
      <c r="F143" t="s">
        <v>66</v>
      </c>
      <c r="G143" t="s">
        <v>66</v>
      </c>
      <c r="H143" t="s">
        <v>66</v>
      </c>
      <c r="I143" t="s">
        <v>66</v>
      </c>
      <c r="J143" t="s">
        <v>66</v>
      </c>
      <c r="K143" t="s">
        <v>66</v>
      </c>
      <c r="L143" t="s">
        <v>66</v>
      </c>
      <c r="M143" t="s">
        <v>66</v>
      </c>
      <c r="N143" t="s">
        <v>66</v>
      </c>
    </row>
    <row r="144" spans="1:14" ht="15">
      <c r="A144" t="s">
        <v>162</v>
      </c>
      <c r="C144" s="2"/>
      <c r="D144" s="2"/>
      <c r="E144" s="2"/>
      <c r="F144" s="2"/>
      <c r="G144" s="2"/>
      <c r="H144" s="2"/>
      <c r="I144" s="2"/>
      <c r="J144" s="2"/>
      <c r="K144" s="2"/>
      <c r="L144" s="2"/>
      <c r="N144" t="s">
        <v>30</v>
      </c>
    </row>
    <row r="145" spans="1:14" ht="15">
      <c r="A145" t="s">
        <v>163</v>
      </c>
      <c r="C145" s="2" t="s">
        <v>164</v>
      </c>
      <c r="D145" s="2"/>
      <c r="E145" s="2">
        <v>1</v>
      </c>
      <c r="F145" s="2"/>
      <c r="G145" s="2">
        <v>2</v>
      </c>
      <c r="H145" s="2"/>
      <c r="I145" s="2">
        <v>3</v>
      </c>
      <c r="J145" s="2"/>
      <c r="K145" s="2">
        <v>4</v>
      </c>
      <c r="L145" s="2"/>
      <c r="M145" s="2"/>
      <c r="N145" t="s">
        <v>30</v>
      </c>
    </row>
    <row r="146" spans="1:14" ht="15">
      <c r="A146" t="s">
        <v>165</v>
      </c>
      <c r="C146" s="2"/>
      <c r="D146" s="2"/>
      <c r="E146" s="2"/>
      <c r="F146" s="2"/>
      <c r="G146" s="2"/>
      <c r="H146" s="2"/>
      <c r="I146" s="2"/>
      <c r="J146" s="2"/>
      <c r="K146" s="2"/>
      <c r="L146" s="2"/>
      <c r="M146" s="2"/>
      <c r="N146" t="s">
        <v>30</v>
      </c>
    </row>
    <row r="147" spans="3:14" ht="15">
      <c r="C147" s="2" t="s">
        <v>166</v>
      </c>
      <c r="D147" s="2"/>
      <c r="E147" s="2">
        <v>121</v>
      </c>
      <c r="F147" s="2"/>
      <c r="G147" s="2">
        <v>31</v>
      </c>
      <c r="H147" s="2"/>
      <c r="I147" s="2">
        <v>8</v>
      </c>
      <c r="J147" s="2"/>
      <c r="K147" s="2">
        <v>5</v>
      </c>
      <c r="L147" s="2"/>
      <c r="M147" s="2"/>
      <c r="N147" t="s">
        <v>30</v>
      </c>
    </row>
    <row r="148" spans="3:14" ht="15">
      <c r="C148" s="2" t="s">
        <v>167</v>
      </c>
      <c r="D148" s="2"/>
      <c r="E148" s="2">
        <v>50</v>
      </c>
      <c r="F148" s="2"/>
      <c r="G148" s="2">
        <v>45</v>
      </c>
      <c r="H148" s="2"/>
      <c r="I148" s="2">
        <v>29</v>
      </c>
      <c r="J148" s="2"/>
      <c r="K148" s="2">
        <v>15</v>
      </c>
      <c r="L148" s="2"/>
      <c r="M148" s="2"/>
      <c r="N148" t="s">
        <v>30</v>
      </c>
    </row>
    <row r="149" spans="3:14" ht="15">
      <c r="C149" s="2" t="s">
        <v>168</v>
      </c>
      <c r="D149" s="2"/>
      <c r="E149" s="2">
        <f>E147-E44</f>
        <v>0</v>
      </c>
      <c r="F149" s="2"/>
      <c r="G149" s="2">
        <f>G147-G44</f>
        <v>0</v>
      </c>
      <c r="H149" s="2"/>
      <c r="I149" s="2">
        <f>I147-I44</f>
        <v>0</v>
      </c>
      <c r="J149" s="2"/>
      <c r="K149" s="2">
        <f>K147-K44</f>
        <v>0</v>
      </c>
      <c r="L149" s="2"/>
      <c r="M149" s="2"/>
      <c r="N149" t="s">
        <v>30</v>
      </c>
    </row>
    <row r="150" spans="3:14" ht="15">
      <c r="C150" s="2" t="s">
        <v>169</v>
      </c>
      <c r="D150" s="2"/>
      <c r="E150" s="2">
        <f>E148-E45</f>
        <v>-15</v>
      </c>
      <c r="F150" s="2"/>
      <c r="G150" s="2">
        <f>G148-G45</f>
        <v>-13.5</v>
      </c>
      <c r="H150" s="2"/>
      <c r="I150" s="2">
        <f>I148-I45</f>
        <v>-8.700000000000003</v>
      </c>
      <c r="J150" s="2"/>
      <c r="K150" s="2">
        <f>K148-K45</f>
        <v>-4.5</v>
      </c>
      <c r="L150" s="2"/>
      <c r="M150" s="2"/>
      <c r="N150" t="s">
        <v>30</v>
      </c>
    </row>
    <row r="151" spans="3:14" ht="15">
      <c r="C151" s="2"/>
      <c r="D151" s="2"/>
      <c r="E151" s="2"/>
      <c r="F151" s="2"/>
      <c r="G151" s="2"/>
      <c r="H151" s="2"/>
      <c r="I151" s="2"/>
      <c r="J151" s="2"/>
      <c r="K151" s="2"/>
      <c r="L151" s="2"/>
      <c r="M151" s="2"/>
      <c r="N151" t="s">
        <v>30</v>
      </c>
    </row>
    <row r="152" spans="1:14" ht="15">
      <c r="A152" t="s">
        <v>170</v>
      </c>
      <c r="C152" s="2"/>
      <c r="D152" s="2"/>
      <c r="E152" s="2">
        <f>SUM(E149:E150)</f>
        <v>-15</v>
      </c>
      <c r="F152" s="2"/>
      <c r="G152" s="2">
        <f>SUM(G149:G150)</f>
        <v>-13.5</v>
      </c>
      <c r="H152" s="2"/>
      <c r="I152" s="2">
        <f>SUM(I149:I150)</f>
        <v>-8.700000000000003</v>
      </c>
      <c r="J152" s="2"/>
      <c r="K152" s="2">
        <f>SUM(K149:K150)</f>
        <v>-4.5</v>
      </c>
      <c r="L152" s="2"/>
      <c r="M152" s="2"/>
      <c r="N152" t="s">
        <v>30</v>
      </c>
    </row>
    <row r="153" spans="1:14" ht="15">
      <c r="A153" t="s">
        <v>171</v>
      </c>
      <c r="C153" s="2"/>
      <c r="D153" s="2"/>
      <c r="E153" s="2">
        <f>100*(E149/E147)</f>
        <v>0</v>
      </c>
      <c r="F153" s="2"/>
      <c r="G153" s="2">
        <f>100*(G149/G147)</f>
        <v>0</v>
      </c>
      <c r="H153" s="2"/>
      <c r="I153" s="2">
        <f>100*(I149/I147)</f>
        <v>0</v>
      </c>
      <c r="J153" s="2"/>
      <c r="K153" s="2">
        <f>100*(K149/K147)</f>
        <v>0</v>
      </c>
      <c r="L153" s="2"/>
      <c r="M153" s="2"/>
      <c r="N153" t="s">
        <v>30</v>
      </c>
    </row>
    <row r="154" spans="1:14" ht="15">
      <c r="A154" t="s">
        <v>172</v>
      </c>
      <c r="C154" s="2"/>
      <c r="D154" s="2"/>
      <c r="E154" s="2">
        <f>100*(E150/E148)</f>
        <v>-30</v>
      </c>
      <c r="F154" s="2"/>
      <c r="G154" s="2">
        <f>100*(G150/G148)</f>
        <v>-30</v>
      </c>
      <c r="H154" s="2"/>
      <c r="I154" s="2">
        <f>100*(I150/I148)</f>
        <v>-30.00000000000001</v>
      </c>
      <c r="J154" s="2"/>
      <c r="K154" s="2">
        <f>100*(K150/K148)</f>
        <v>-30</v>
      </c>
      <c r="L154" s="2"/>
      <c r="M154" s="2"/>
      <c r="N154" t="s">
        <v>30</v>
      </c>
    </row>
    <row r="155" spans="3:14" ht="15">
      <c r="C155" s="2"/>
      <c r="D155" s="2"/>
      <c r="E155" s="2"/>
      <c r="F155" s="2"/>
      <c r="G155" s="2"/>
      <c r="H155" s="2"/>
      <c r="I155" s="2"/>
      <c r="J155" s="2"/>
      <c r="K155" s="2"/>
      <c r="L155" s="2"/>
      <c r="M155" s="2"/>
      <c r="N155" t="s">
        <v>30</v>
      </c>
    </row>
    <row r="156" spans="3:14" ht="15">
      <c r="C156" s="2"/>
      <c r="D156" s="2"/>
      <c r="E156" s="2"/>
      <c r="F156" s="2"/>
      <c r="G156" s="2"/>
      <c r="H156" s="2"/>
      <c r="I156" s="2"/>
      <c r="J156" s="2"/>
      <c r="K156" s="2"/>
      <c r="L156" s="2"/>
      <c r="M156" s="2"/>
      <c r="N156" t="s">
        <v>30</v>
      </c>
    </row>
    <row r="157" spans="3:13" ht="15">
      <c r="C157" s="2"/>
      <c r="D157" s="2"/>
      <c r="E157" s="2"/>
      <c r="F157" s="2"/>
      <c r="G157" s="2"/>
      <c r="H157" s="2"/>
      <c r="I157" s="2"/>
      <c r="J157" s="2"/>
      <c r="K157" s="2"/>
      <c r="L157" s="2"/>
      <c r="M157" s="2"/>
    </row>
    <row r="158" spans="3:12" ht="15">
      <c r="C158" s="2"/>
      <c r="D158" s="2"/>
      <c r="E158" s="2"/>
      <c r="F158" s="2"/>
      <c r="G158" s="2"/>
      <c r="H158" s="2"/>
      <c r="I158" s="2"/>
      <c r="J158" s="2"/>
      <c r="K158" s="2"/>
      <c r="L158" s="2"/>
    </row>
    <row r="159" spans="3:12" ht="15">
      <c r="C159" s="2"/>
      <c r="D159" s="2"/>
      <c r="E159" s="2"/>
      <c r="F159" s="2"/>
      <c r="G159" s="2"/>
      <c r="H159" s="2"/>
      <c r="I159" s="2"/>
      <c r="J159" s="2"/>
      <c r="K159" s="2"/>
      <c r="L159" s="2"/>
    </row>
    <row r="160" spans="3:12" ht="15">
      <c r="C160" s="2"/>
      <c r="D160" s="2"/>
      <c r="E160" s="2"/>
      <c r="F160" s="2"/>
      <c r="G160" s="2"/>
      <c r="H160" s="2"/>
      <c r="I160" s="2"/>
      <c r="J160" s="2"/>
      <c r="K160" s="2"/>
      <c r="L160" s="2"/>
    </row>
    <row r="161" spans="3:12" ht="15">
      <c r="C161" s="2"/>
      <c r="D161" s="2"/>
      <c r="E161" s="2"/>
      <c r="F161" s="2"/>
      <c r="G161" s="2"/>
      <c r="H161" s="2"/>
      <c r="I161" s="2"/>
      <c r="J161" s="2"/>
      <c r="K161" s="2"/>
      <c r="L161" s="2"/>
    </row>
    <row r="162" spans="3:12" ht="15">
      <c r="C162" s="2"/>
      <c r="D162" s="2"/>
      <c r="E162" s="2"/>
      <c r="F162" s="2"/>
      <c r="G162" s="2"/>
      <c r="H162" s="2"/>
      <c r="I162" s="2"/>
      <c r="J162" s="2"/>
      <c r="K162" s="2"/>
      <c r="L162" s="2"/>
    </row>
    <row r="163" spans="3:12" ht="15">
      <c r="C163" s="2"/>
      <c r="D163" s="2"/>
      <c r="E163" s="2"/>
      <c r="F163" s="2"/>
      <c r="G163" s="2"/>
      <c r="H163" s="2"/>
      <c r="I163" s="2"/>
      <c r="J163" s="2"/>
      <c r="K163" s="2"/>
      <c r="L163" s="2"/>
    </row>
    <row r="164" spans="3:12" ht="15">
      <c r="C164" s="2"/>
      <c r="D164" s="2"/>
      <c r="E164" s="2"/>
      <c r="F164" s="2"/>
      <c r="G164" s="2"/>
      <c r="H164" s="2"/>
      <c r="I164" s="2"/>
      <c r="J164" s="2"/>
      <c r="K164" s="2"/>
      <c r="L164" s="2"/>
    </row>
    <row r="165" spans="3:12" ht="15">
      <c r="C165" s="2"/>
      <c r="D165" s="2"/>
      <c r="E165" s="2"/>
      <c r="F165" s="2"/>
      <c r="G165" s="2"/>
      <c r="H165" s="2"/>
      <c r="I165" s="2"/>
      <c r="J165" s="2"/>
      <c r="K165" s="2"/>
      <c r="L165" s="2"/>
    </row>
    <row r="166" spans="3:12" ht="15">
      <c r="C166" s="2"/>
      <c r="D166" s="2"/>
      <c r="E166" s="2"/>
      <c r="F166" s="2"/>
      <c r="G166" s="2"/>
      <c r="H166" s="2"/>
      <c r="I166" s="2"/>
      <c r="J166" s="2"/>
      <c r="K166" s="2"/>
      <c r="L166" s="2"/>
    </row>
    <row r="167" spans="3:12" ht="15">
      <c r="C167" s="2"/>
      <c r="D167" s="2"/>
      <c r="E167" s="2"/>
      <c r="F167" s="2"/>
      <c r="G167" s="2"/>
      <c r="H167" s="2"/>
      <c r="I167" s="2"/>
      <c r="J167" s="2"/>
      <c r="K167" s="2"/>
      <c r="L167" s="2"/>
    </row>
    <row r="168" spans="3:12" ht="15">
      <c r="C168" s="2"/>
      <c r="D168" s="2"/>
      <c r="E168" s="2"/>
      <c r="F168" s="2"/>
      <c r="G168" s="2"/>
      <c r="H168" s="2"/>
      <c r="I168" s="2"/>
      <c r="J168" s="2"/>
      <c r="K168" s="2"/>
      <c r="L168" s="2"/>
    </row>
    <row r="169" spans="3:12" ht="15">
      <c r="C169" s="2"/>
      <c r="D169" s="2"/>
      <c r="E169" s="2"/>
      <c r="F169" s="2"/>
      <c r="G169" s="2"/>
      <c r="H169" s="2"/>
      <c r="I169" s="2"/>
      <c r="J169" s="2"/>
      <c r="K169" s="2"/>
      <c r="L169" s="2"/>
    </row>
    <row r="170" spans="3:12" ht="15">
      <c r="C170" s="2"/>
      <c r="D170" s="2"/>
      <c r="E170" s="2"/>
      <c r="F170" s="2"/>
      <c r="G170" s="2"/>
      <c r="H170" s="2"/>
      <c r="I170" s="2"/>
      <c r="J170" s="2"/>
      <c r="K170" s="2"/>
      <c r="L170" s="2"/>
    </row>
  </sheetData>
  <hyperlinks>
    <hyperlink ref="P26" r:id="rId1" display="nabo@voicenet.com"/>
    <hyperlink ref="L11" r:id="rId2" display="nabo@voicenet.com"/>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3"/>
  </sheetPr>
  <dimension ref="A1:V166"/>
  <sheetViews>
    <sheetView workbookViewId="0" topLeftCell="A10">
      <selection activeCell="A10" sqref="A1:IV16384"/>
    </sheetView>
  </sheetViews>
  <sheetFormatPr defaultColWidth="8.88671875" defaultRowHeight="15"/>
  <cols>
    <col min="1" max="1" width="45.99609375" style="0" customWidth="1"/>
    <col min="2" max="2" width="6.4453125" style="0" customWidth="1"/>
    <col min="4" max="13" width="7.99609375" style="0" customWidth="1"/>
    <col min="14" max="14" width="3.10546875" style="0" customWidth="1"/>
    <col min="15" max="16384" width="7.99609375" style="0" customWidth="1"/>
  </cols>
  <sheetData>
    <row r="1" spans="1:11" ht="18">
      <c r="A1" s="21" t="s">
        <v>177</v>
      </c>
      <c r="B1" s="18"/>
      <c r="C1" s="18"/>
      <c r="D1" s="18"/>
      <c r="E1" s="18"/>
      <c r="F1" s="18"/>
      <c r="G1" s="18"/>
      <c r="H1" s="18"/>
      <c r="I1" s="18"/>
      <c r="J1" s="18"/>
      <c r="K1" s="18"/>
    </row>
    <row r="2" spans="1:11" ht="15">
      <c r="A2" s="18" t="s">
        <v>178</v>
      </c>
      <c r="B2" s="18"/>
      <c r="C2" s="18"/>
      <c r="D2" s="18"/>
      <c r="E2" s="18"/>
      <c r="F2" s="18"/>
      <c r="G2" s="18"/>
      <c r="H2" s="18"/>
      <c r="I2" s="18"/>
      <c r="J2" s="18"/>
      <c r="K2" s="18"/>
    </row>
    <row r="3" spans="1:11" ht="15">
      <c r="A3" s="18" t="s">
        <v>179</v>
      </c>
      <c r="B3" s="18"/>
      <c r="C3" s="18"/>
      <c r="D3" s="18"/>
      <c r="E3" s="18"/>
      <c r="F3" s="18"/>
      <c r="G3" s="18"/>
      <c r="H3" s="18"/>
      <c r="I3" s="18"/>
      <c r="J3" s="18"/>
      <c r="K3" s="18"/>
    </row>
    <row r="4" spans="1:11" ht="15">
      <c r="A4" s="18" t="s">
        <v>180</v>
      </c>
      <c r="B4" s="18"/>
      <c r="C4" s="18"/>
      <c r="D4" s="18"/>
      <c r="E4" s="18"/>
      <c r="F4" s="18"/>
      <c r="G4" s="18"/>
      <c r="H4" s="18"/>
      <c r="I4" s="18"/>
      <c r="J4" s="18"/>
      <c r="K4" s="18"/>
    </row>
    <row r="5" spans="1:11" ht="15">
      <c r="A5" s="18" t="s">
        <v>181</v>
      </c>
      <c r="B5" s="18"/>
      <c r="C5" s="18"/>
      <c r="D5" s="18"/>
      <c r="E5" s="18"/>
      <c r="F5" s="18"/>
      <c r="G5" s="18"/>
      <c r="H5" s="18"/>
      <c r="I5" s="18"/>
      <c r="J5" s="18"/>
      <c r="K5" s="18"/>
    </row>
    <row r="6" spans="1:11" ht="15">
      <c r="A6" s="18" t="s">
        <v>415</v>
      </c>
      <c r="B6" s="18"/>
      <c r="C6" s="18"/>
      <c r="D6" s="18"/>
      <c r="E6" s="18"/>
      <c r="F6" s="18"/>
      <c r="G6" s="18"/>
      <c r="H6" s="18"/>
      <c r="I6" s="18"/>
      <c r="J6" s="18"/>
      <c r="K6" s="18"/>
    </row>
    <row r="7" ht="15">
      <c r="H7" t="s">
        <v>182</v>
      </c>
    </row>
    <row r="8" spans="1:12" ht="15">
      <c r="A8" t="s">
        <v>175</v>
      </c>
      <c r="H8" s="18" t="s">
        <v>183</v>
      </c>
      <c r="I8" s="18"/>
      <c r="J8" s="18"/>
      <c r="K8" s="18"/>
      <c r="L8" s="18"/>
    </row>
    <row r="9" spans="1:12" ht="15">
      <c r="A9" t="s">
        <v>1</v>
      </c>
      <c r="H9" s="18">
        <v>2006</v>
      </c>
      <c r="I9" s="19" t="s">
        <v>184</v>
      </c>
      <c r="J9" s="18"/>
      <c r="K9" s="18"/>
      <c r="L9" s="18"/>
    </row>
    <row r="10" spans="1:12" ht="15">
      <c r="A10" t="s">
        <v>3</v>
      </c>
      <c r="H10" s="18"/>
      <c r="I10" s="18" t="s">
        <v>15</v>
      </c>
      <c r="J10" s="18"/>
      <c r="K10" s="18"/>
      <c r="L10" s="18" t="s">
        <v>21</v>
      </c>
    </row>
    <row r="11" spans="8:12" ht="15">
      <c r="H11" s="18"/>
      <c r="J11" s="18"/>
      <c r="K11" s="18"/>
      <c r="L11" s="20" t="s">
        <v>173</v>
      </c>
    </row>
    <row r="12" ht="15">
      <c r="A12" t="s">
        <v>6</v>
      </c>
    </row>
    <row r="13" ht="15">
      <c r="D13" t="s">
        <v>8</v>
      </c>
    </row>
    <row r="14" spans="1:4" ht="15">
      <c r="A14" t="s">
        <v>10</v>
      </c>
      <c r="D14" t="s">
        <v>11</v>
      </c>
    </row>
    <row r="15" spans="1:4" ht="15">
      <c r="A15" t="s">
        <v>13</v>
      </c>
      <c r="D15" t="s">
        <v>14</v>
      </c>
    </row>
    <row r="16" spans="1:18" ht="15">
      <c r="A16" t="s">
        <v>16</v>
      </c>
      <c r="D16" t="s">
        <v>17</v>
      </c>
      <c r="Q16" s="18"/>
      <c r="R16" s="18"/>
    </row>
    <row r="17" spans="1:18" ht="15">
      <c r="A17" t="s">
        <v>19</v>
      </c>
      <c r="D17" t="s">
        <v>20</v>
      </c>
      <c r="Q17" s="18"/>
      <c r="R17" s="18"/>
    </row>
    <row r="18" spans="1:18" ht="15">
      <c r="A18" t="s">
        <v>22</v>
      </c>
      <c r="D18" t="s">
        <v>23</v>
      </c>
      <c r="Q18" s="18"/>
      <c r="R18" s="18"/>
    </row>
    <row r="19" spans="1:18" ht="15">
      <c r="A19" t="s">
        <v>25</v>
      </c>
      <c r="D19" t="s">
        <v>416</v>
      </c>
      <c r="Q19" s="18"/>
      <c r="R19" s="18"/>
    </row>
    <row r="20" spans="1:16" ht="15">
      <c r="A20" s="48" t="s">
        <v>422</v>
      </c>
      <c r="D20" t="s">
        <v>27</v>
      </c>
      <c r="P20" t="s">
        <v>9</v>
      </c>
    </row>
    <row r="21" spans="1:16" ht="15">
      <c r="A21" s="48" t="s">
        <v>423</v>
      </c>
      <c r="D21" t="s">
        <v>29</v>
      </c>
      <c r="N21" t="s">
        <v>30</v>
      </c>
      <c r="P21" t="s">
        <v>12</v>
      </c>
    </row>
    <row r="22" spans="1:15" ht="15">
      <c r="A22" s="48" t="s">
        <v>424</v>
      </c>
      <c r="N22" t="s">
        <v>30</v>
      </c>
      <c r="O22" t="s">
        <v>15</v>
      </c>
    </row>
    <row r="23" spans="1:16" ht="23.25">
      <c r="A23" s="17" t="s">
        <v>176</v>
      </c>
      <c r="N23" t="s">
        <v>30</v>
      </c>
      <c r="P23" t="s">
        <v>18</v>
      </c>
    </row>
    <row r="24" spans="1:14" ht="15">
      <c r="A24" s="16" t="s">
        <v>174</v>
      </c>
      <c r="D24" t="s">
        <v>33</v>
      </c>
      <c r="N24" t="s">
        <v>30</v>
      </c>
    </row>
    <row r="25" spans="14:16" ht="15">
      <c r="N25" t="s">
        <v>30</v>
      </c>
      <c r="P25" t="s">
        <v>24</v>
      </c>
    </row>
    <row r="26" spans="1:16" ht="18">
      <c r="A26" s="5" t="s">
        <v>34</v>
      </c>
      <c r="N26" t="s">
        <v>30</v>
      </c>
      <c r="P26" s="15" t="s">
        <v>173</v>
      </c>
    </row>
    <row r="27" spans="1:16" ht="20.25">
      <c r="A27" t="s">
        <v>35</v>
      </c>
      <c r="E27" s="10" t="s">
        <v>36</v>
      </c>
      <c r="F27" s="12"/>
      <c r="G27" s="10" t="s">
        <v>37</v>
      </c>
      <c r="H27" s="12"/>
      <c r="I27" s="10" t="s">
        <v>38</v>
      </c>
      <c r="J27" s="12"/>
      <c r="K27" s="10" t="s">
        <v>39</v>
      </c>
      <c r="L27" s="12"/>
      <c r="N27" t="s">
        <v>30</v>
      </c>
      <c r="P27" t="s">
        <v>28</v>
      </c>
    </row>
    <row r="28" spans="1:14" ht="15">
      <c r="A28" t="s">
        <v>40</v>
      </c>
      <c r="E28" s="7">
        <v>1</v>
      </c>
      <c r="G28" s="7">
        <v>2</v>
      </c>
      <c r="I28" s="7">
        <v>3</v>
      </c>
      <c r="K28" s="7" t="s">
        <v>41</v>
      </c>
      <c r="L28" s="7"/>
      <c r="N28" t="s">
        <v>30</v>
      </c>
    </row>
    <row r="29" spans="1:14" ht="15">
      <c r="A29" t="s">
        <v>42</v>
      </c>
      <c r="E29" s="7" t="s">
        <v>43</v>
      </c>
      <c r="G29" s="7" t="s">
        <v>44</v>
      </c>
      <c r="I29" s="7" t="s">
        <v>45</v>
      </c>
      <c r="K29" s="7" t="s">
        <v>46</v>
      </c>
      <c r="L29" s="7"/>
      <c r="N29" t="s">
        <v>30</v>
      </c>
    </row>
    <row r="30" spans="12:14" ht="15">
      <c r="L30" s="7"/>
      <c r="N30" t="s">
        <v>30</v>
      </c>
    </row>
    <row r="32" spans="1:14" ht="15">
      <c r="A32" t="s">
        <v>47</v>
      </c>
      <c r="N32" t="s">
        <v>30</v>
      </c>
    </row>
    <row r="33" spans="1:14" ht="15">
      <c r="A33" t="s">
        <v>48</v>
      </c>
      <c r="E33" s="7">
        <v>389</v>
      </c>
      <c r="G33" s="13">
        <f>(84+50+77)/3</f>
        <v>70.33333333333333</v>
      </c>
      <c r="I33" s="13">
        <f>(25+15+20+11+12)/5</f>
        <v>16.6</v>
      </c>
      <c r="K33" s="13">
        <f>(14+6+20+16+18+14)/6</f>
        <v>14.666666666666666</v>
      </c>
      <c r="N33" t="s">
        <v>30</v>
      </c>
    </row>
    <row r="34" spans="1:14" ht="15">
      <c r="A34" t="s">
        <v>49</v>
      </c>
      <c r="E34" s="1">
        <f>E33/E40</f>
        <v>3.2148760330578514</v>
      </c>
      <c r="G34" s="1">
        <f>G33/G40</f>
        <v>2.268817204301075</v>
      </c>
      <c r="I34" s="1">
        <f>I33/I40</f>
        <v>2.075</v>
      </c>
      <c r="K34" s="1">
        <f>K33/K40</f>
        <v>2.933333333333333</v>
      </c>
      <c r="N34" t="s">
        <v>30</v>
      </c>
    </row>
    <row r="35" spans="1:14" ht="15">
      <c r="A35" t="s">
        <v>50</v>
      </c>
      <c r="E35" s="7" t="s">
        <v>51</v>
      </c>
      <c r="G35" s="7" t="s">
        <v>52</v>
      </c>
      <c r="I35" s="7" t="s">
        <v>53</v>
      </c>
      <c r="K35" s="7" t="s">
        <v>54</v>
      </c>
      <c r="N35" t="s">
        <v>30</v>
      </c>
    </row>
    <row r="36" spans="1:14" ht="15">
      <c r="A36" t="s">
        <v>55</v>
      </c>
      <c r="E36" s="1">
        <f>E41/E40</f>
        <v>0.4132231404958678</v>
      </c>
      <c r="G36" s="1">
        <f>G41/G40</f>
        <v>1.4516129032258065</v>
      </c>
      <c r="I36" s="1">
        <f>I41/I40</f>
        <v>3.625</v>
      </c>
      <c r="K36" s="1">
        <f>K41/K40</f>
        <v>3</v>
      </c>
      <c r="N36" t="s">
        <v>30</v>
      </c>
    </row>
    <row r="37" spans="2:14" ht="15">
      <c r="B37" s="55"/>
      <c r="N37" t="s">
        <v>30</v>
      </c>
    </row>
    <row r="39" spans="1:14" ht="20.25">
      <c r="A39" s="5" t="s">
        <v>56</v>
      </c>
      <c r="E39" s="10" t="s">
        <v>36</v>
      </c>
      <c r="F39" s="12"/>
      <c r="G39" s="10" t="s">
        <v>37</v>
      </c>
      <c r="H39" s="12"/>
      <c r="I39" s="10" t="s">
        <v>38</v>
      </c>
      <c r="J39" s="12"/>
      <c r="K39" s="10" t="s">
        <v>39</v>
      </c>
      <c r="N39" t="s">
        <v>30</v>
      </c>
    </row>
    <row r="40" spans="4:22" s="48" customFormat="1" ht="15">
      <c r="D40" s="54" t="s">
        <v>57</v>
      </c>
      <c r="E40" s="48">
        <v>121</v>
      </c>
      <c r="G40" s="48">
        <v>31</v>
      </c>
      <c r="I40" s="48">
        <v>8</v>
      </c>
      <c r="K40" s="48">
        <v>5</v>
      </c>
      <c r="N40" s="48" t="s">
        <v>30</v>
      </c>
      <c r="P40" s="48">
        <v>103</v>
      </c>
      <c r="R40" s="48">
        <v>24</v>
      </c>
      <c r="T40" s="48">
        <v>6</v>
      </c>
      <c r="V40" s="48">
        <v>3</v>
      </c>
    </row>
    <row r="41" spans="4:22" s="48" customFormat="1" ht="15">
      <c r="D41" s="54" t="s">
        <v>58</v>
      </c>
      <c r="E41" s="48">
        <v>50</v>
      </c>
      <c r="G41" s="48">
        <v>45</v>
      </c>
      <c r="I41" s="48">
        <v>29</v>
      </c>
      <c r="K41" s="48">
        <v>15</v>
      </c>
      <c r="N41" s="48" t="s">
        <v>30</v>
      </c>
      <c r="P41" s="48">
        <v>60</v>
      </c>
      <c r="R41" s="48">
        <v>24</v>
      </c>
      <c r="T41" s="48">
        <v>23</v>
      </c>
      <c r="V41" s="48">
        <v>19</v>
      </c>
    </row>
    <row r="42" spans="1:14" ht="18">
      <c r="A42" t="s">
        <v>59</v>
      </c>
      <c r="C42" s="5" t="s">
        <v>60</v>
      </c>
      <c r="N42" t="s">
        <v>30</v>
      </c>
    </row>
    <row r="43" spans="1:14" ht="18">
      <c r="A43" t="s">
        <v>61</v>
      </c>
      <c r="C43" s="5" t="s">
        <v>62</v>
      </c>
      <c r="E43" t="s">
        <v>63</v>
      </c>
      <c r="N43" t="s">
        <v>30</v>
      </c>
    </row>
    <row r="44" spans="1:14" ht="18">
      <c r="A44" t="s">
        <v>64</v>
      </c>
      <c r="C44" s="5">
        <v>4400</v>
      </c>
      <c r="E44">
        <f>E40*$C$44</f>
        <v>532400</v>
      </c>
      <c r="G44">
        <f>G40*$C$44</f>
        <v>136400</v>
      </c>
      <c r="I44">
        <f>I40*$C$44</f>
        <v>35200</v>
      </c>
      <c r="K44">
        <f>K40*$C$44</f>
        <v>22000</v>
      </c>
      <c r="N44" t="s">
        <v>30</v>
      </c>
    </row>
    <row r="45" spans="1:14" ht="18">
      <c r="A45" t="s">
        <v>65</v>
      </c>
      <c r="C45" s="5">
        <v>700</v>
      </c>
      <c r="E45">
        <f>E41*$C$45</f>
        <v>35000</v>
      </c>
      <c r="G45">
        <f>G41*$C$45</f>
        <v>31500</v>
      </c>
      <c r="I45">
        <f>I41*$C$45</f>
        <v>20300</v>
      </c>
      <c r="K45">
        <f>K41*$C$45</f>
        <v>10500</v>
      </c>
      <c r="N45" t="s">
        <v>30</v>
      </c>
    </row>
    <row r="46" spans="5:14" ht="20.25">
      <c r="E46" s="10" t="s">
        <v>36</v>
      </c>
      <c r="F46" s="12"/>
      <c r="G46" s="10" t="s">
        <v>37</v>
      </c>
      <c r="H46" s="12"/>
      <c r="I46" s="10" t="s">
        <v>38</v>
      </c>
      <c r="J46" s="12"/>
      <c r="K46" s="10" t="s">
        <v>39</v>
      </c>
      <c r="N46" t="s">
        <v>30</v>
      </c>
    </row>
    <row r="47" spans="4:14" ht="15">
      <c r="D47" t="s">
        <v>67</v>
      </c>
      <c r="E47">
        <f>SUM(E44:E45)</f>
        <v>567400</v>
      </c>
      <c r="G47">
        <f>SUM(G44:G45)</f>
        <v>167900</v>
      </c>
      <c r="I47">
        <f>SUM(I44:I45)</f>
        <v>55500</v>
      </c>
      <c r="K47">
        <f>SUM(K44:K45)</f>
        <v>32500</v>
      </c>
      <c r="N47" t="s">
        <v>30</v>
      </c>
    </row>
    <row r="48" ht="15">
      <c r="N48" t="s">
        <v>30</v>
      </c>
    </row>
    <row r="49" spans="1:14" ht="18">
      <c r="A49" s="5" t="s">
        <v>68</v>
      </c>
      <c r="C49" s="5" t="s">
        <v>69</v>
      </c>
      <c r="D49" s="5"/>
      <c r="E49" s="5"/>
      <c r="F49" s="5"/>
      <c r="G49" s="5"/>
      <c r="H49" s="5"/>
      <c r="I49" s="5"/>
      <c r="J49" s="5"/>
      <c r="N49" t="s">
        <v>30</v>
      </c>
    </row>
    <row r="50" spans="1:14" ht="18">
      <c r="A50" s="6">
        <v>1</v>
      </c>
      <c r="C50" s="5" t="s">
        <v>70</v>
      </c>
      <c r="D50" s="5"/>
      <c r="E50" s="5"/>
      <c r="F50" s="5"/>
      <c r="G50" s="5"/>
      <c r="H50" s="5"/>
      <c r="I50" s="5"/>
      <c r="J50" s="5"/>
      <c r="N50" t="s">
        <v>30</v>
      </c>
    </row>
    <row r="51" spans="1:14" ht="18">
      <c r="A51" s="6">
        <v>1</v>
      </c>
      <c r="C51" s="5" t="s">
        <v>71</v>
      </c>
      <c r="D51" s="5"/>
      <c r="E51" s="5"/>
      <c r="F51" s="5"/>
      <c r="G51" s="5"/>
      <c r="H51" s="5"/>
      <c r="I51" s="5"/>
      <c r="J51" s="5"/>
      <c r="N51" t="s">
        <v>30</v>
      </c>
    </row>
    <row r="52" ht="15">
      <c r="N52" t="s">
        <v>30</v>
      </c>
    </row>
    <row r="53" spans="1:14" ht="18">
      <c r="A53" s="5" t="s">
        <v>72</v>
      </c>
      <c r="E53" s="1"/>
      <c r="N53" t="s">
        <v>30</v>
      </c>
    </row>
    <row r="54" spans="1:14" ht="15">
      <c r="A54" t="s">
        <v>73</v>
      </c>
      <c r="E54" t="s">
        <v>74</v>
      </c>
      <c r="G54" t="s">
        <v>75</v>
      </c>
      <c r="I54" s="2">
        <v>154.5</v>
      </c>
      <c r="K54" s="2">
        <f>(138+133+131+131+128+125+125+123+120+113+113)/11</f>
        <v>125.45454545454545</v>
      </c>
      <c r="N54" t="s">
        <v>30</v>
      </c>
    </row>
    <row r="55" spans="1:14" ht="15">
      <c r="A55" t="s">
        <v>76</v>
      </c>
      <c r="E55">
        <f>800*A50</f>
        <v>800</v>
      </c>
      <c r="G55">
        <f>400*A50</f>
        <v>400</v>
      </c>
      <c r="I55">
        <v>155</v>
      </c>
      <c r="K55">
        <f>125*A50</f>
        <v>125</v>
      </c>
      <c r="N55" t="s">
        <v>30</v>
      </c>
    </row>
    <row r="56" ht="15">
      <c r="N56" t="s">
        <v>30</v>
      </c>
    </row>
    <row r="57" spans="1:14" ht="20.25">
      <c r="A57" s="5" t="s">
        <v>77</v>
      </c>
      <c r="E57" s="10" t="s">
        <v>36</v>
      </c>
      <c r="F57" s="12"/>
      <c r="G57" s="10" t="s">
        <v>37</v>
      </c>
      <c r="H57" s="12"/>
      <c r="I57" s="10" t="s">
        <v>38</v>
      </c>
      <c r="J57" s="12"/>
      <c r="K57" s="10" t="s">
        <v>39</v>
      </c>
      <c r="N57" t="s">
        <v>30</v>
      </c>
    </row>
    <row r="58" spans="3:14" ht="15">
      <c r="C58" t="s">
        <v>78</v>
      </c>
      <c r="D58" s="1" t="s">
        <v>79</v>
      </c>
      <c r="E58" t="s">
        <v>80</v>
      </c>
      <c r="N58" t="s">
        <v>30</v>
      </c>
    </row>
    <row r="59" spans="3:14" ht="15">
      <c r="C59" t="s">
        <v>81</v>
      </c>
      <c r="D59" s="8" t="s">
        <v>82</v>
      </c>
      <c r="E59" s="8" t="s">
        <v>83</v>
      </c>
      <c r="F59" s="8" t="s">
        <v>82</v>
      </c>
      <c r="G59" s="8" t="s">
        <v>83</v>
      </c>
      <c r="H59" s="8" t="s">
        <v>82</v>
      </c>
      <c r="I59" s="8" t="s">
        <v>83</v>
      </c>
      <c r="J59" s="8" t="s">
        <v>82</v>
      </c>
      <c r="K59" s="8" t="s">
        <v>83</v>
      </c>
      <c r="L59" s="8"/>
      <c r="N59" t="s">
        <v>30</v>
      </c>
    </row>
    <row r="60" spans="1:14" ht="15">
      <c r="A60" t="s">
        <v>84</v>
      </c>
      <c r="N60" t="s">
        <v>30</v>
      </c>
    </row>
    <row r="61" spans="1:14" ht="15">
      <c r="A61" t="s">
        <v>85</v>
      </c>
      <c r="C61">
        <f>1200*A51</f>
        <v>1200</v>
      </c>
      <c r="D61">
        <v>40</v>
      </c>
      <c r="E61">
        <f>$E$55*(D61/100)*C61</f>
        <v>384000</v>
      </c>
      <c r="F61">
        <v>10</v>
      </c>
      <c r="G61">
        <f>$G$55*(F61/100)*C61</f>
        <v>48000</v>
      </c>
      <c r="H61">
        <v>5</v>
      </c>
      <c r="I61">
        <f>$I$55*(H61/100)*C61</f>
        <v>9300</v>
      </c>
      <c r="J61">
        <v>0</v>
      </c>
      <c r="K61" s="2">
        <f>$K$55*(J61/100)*C61</f>
        <v>0</v>
      </c>
      <c r="N61" t="s">
        <v>30</v>
      </c>
    </row>
    <row r="62" spans="1:14" ht="15">
      <c r="A62" t="s">
        <v>86</v>
      </c>
      <c r="C62">
        <v>400</v>
      </c>
      <c r="D62">
        <v>50</v>
      </c>
      <c r="E62">
        <f>$E$55*(D62/100)*C62</f>
        <v>160000</v>
      </c>
      <c r="F62">
        <v>35</v>
      </c>
      <c r="G62">
        <f>$G$55*(F62/100)*C62</f>
        <v>56000</v>
      </c>
      <c r="H62">
        <v>30</v>
      </c>
      <c r="I62">
        <f>$I$55*(H62/100)*C62</f>
        <v>18600</v>
      </c>
      <c r="J62">
        <v>5</v>
      </c>
      <c r="K62" s="2">
        <f>$K$55*(J62/100)*C62</f>
        <v>2500</v>
      </c>
      <c r="N62" t="s">
        <v>30</v>
      </c>
    </row>
    <row r="63" spans="1:14" ht="15">
      <c r="A63" t="s">
        <v>87</v>
      </c>
      <c r="C63">
        <f>300*A51</f>
        <v>300</v>
      </c>
      <c r="D63">
        <v>10</v>
      </c>
      <c r="E63">
        <f>$E$55*(D63/100)*C63</f>
        <v>24000</v>
      </c>
      <c r="F63">
        <v>50</v>
      </c>
      <c r="G63">
        <f>$G$55*(F63/100)*C63</f>
        <v>60000</v>
      </c>
      <c r="H63">
        <v>50</v>
      </c>
      <c r="I63">
        <f>$I$55*(H63/100)*C63</f>
        <v>23250</v>
      </c>
      <c r="J63">
        <v>50</v>
      </c>
      <c r="K63" s="2">
        <f>$K$55*(J63/100)*C63</f>
        <v>18750</v>
      </c>
      <c r="N63" t="s">
        <v>30</v>
      </c>
    </row>
    <row r="64" spans="1:14" ht="15">
      <c r="A64" t="s">
        <v>88</v>
      </c>
      <c r="C64">
        <f>200*A51</f>
        <v>200</v>
      </c>
      <c r="D64">
        <v>0</v>
      </c>
      <c r="E64">
        <f>$E$55*(D64/100)*C64</f>
        <v>0</v>
      </c>
      <c r="F64">
        <v>5</v>
      </c>
      <c r="G64">
        <f>$G$55*(F64/100)*C64</f>
        <v>4000</v>
      </c>
      <c r="H64">
        <v>15</v>
      </c>
      <c r="I64">
        <f>$I$55*(H64/100)*C64</f>
        <v>4650</v>
      </c>
      <c r="J64">
        <v>45</v>
      </c>
      <c r="K64" s="2">
        <f>$K$55*(J64/100)*C64</f>
        <v>11250</v>
      </c>
      <c r="N64" t="s">
        <v>30</v>
      </c>
    </row>
    <row r="65" spans="4:14" ht="15">
      <c r="D65">
        <f>SUM(D61:D64)</f>
        <v>100</v>
      </c>
      <c r="F65">
        <f>SUM(F61:F64)</f>
        <v>100</v>
      </c>
      <c r="H65">
        <f>SUM(H61:H64)</f>
        <v>100</v>
      </c>
      <c r="J65">
        <f>SUM(J61:J64)</f>
        <v>100</v>
      </c>
      <c r="N65" t="s">
        <v>30</v>
      </c>
    </row>
    <row r="66" spans="1:14" ht="20.25">
      <c r="A66" s="5" t="s">
        <v>89</v>
      </c>
      <c r="E66" s="10" t="s">
        <v>36</v>
      </c>
      <c r="F66" s="12"/>
      <c r="G66" s="10" t="s">
        <v>37</v>
      </c>
      <c r="H66" s="12"/>
      <c r="I66" s="10" t="s">
        <v>38</v>
      </c>
      <c r="J66" s="12"/>
      <c r="K66" s="10" t="s">
        <v>39</v>
      </c>
      <c r="N66" t="s">
        <v>30</v>
      </c>
    </row>
    <row r="67" spans="2:14" ht="15">
      <c r="B67" s="7" t="s">
        <v>90</v>
      </c>
      <c r="E67">
        <f>SUM(E61:E64)</f>
        <v>568000</v>
      </c>
      <c r="G67">
        <f>SUM(G61:G64)</f>
        <v>168000</v>
      </c>
      <c r="I67">
        <f>SUM(I61:I64)</f>
        <v>55800</v>
      </c>
      <c r="K67" s="2">
        <f>SUM(K61:K64)</f>
        <v>32500</v>
      </c>
      <c r="N67" t="s">
        <v>30</v>
      </c>
    </row>
    <row r="68" spans="2:14" ht="15">
      <c r="B68" s="8" t="s">
        <v>91</v>
      </c>
      <c r="E68">
        <f>SUM(E47)</f>
        <v>567400</v>
      </c>
      <c r="G68">
        <f>SUM(G47)</f>
        <v>167900</v>
      </c>
      <c r="I68">
        <f>SUM(I47)</f>
        <v>55500</v>
      </c>
      <c r="K68" s="2">
        <f>SUM(K47)</f>
        <v>32500</v>
      </c>
      <c r="N68" t="s">
        <v>30</v>
      </c>
    </row>
    <row r="69" spans="5:14" ht="15">
      <c r="E69" t="s">
        <v>66</v>
      </c>
      <c r="G69" t="s">
        <v>66</v>
      </c>
      <c r="I69" t="s">
        <v>66</v>
      </c>
      <c r="K69" s="2" t="s">
        <v>66</v>
      </c>
      <c r="N69" t="s">
        <v>30</v>
      </c>
    </row>
    <row r="70" spans="1:14" ht="15">
      <c r="A70" t="s">
        <v>92</v>
      </c>
      <c r="E70">
        <f>E67-E47</f>
        <v>600</v>
      </c>
      <c r="G70">
        <f>G67-G47</f>
        <v>100</v>
      </c>
      <c r="I70">
        <f>I67-I47</f>
        <v>300</v>
      </c>
      <c r="K70" s="2">
        <f>K67-K47</f>
        <v>0</v>
      </c>
      <c r="N70" t="s">
        <v>30</v>
      </c>
    </row>
    <row r="71" spans="11:14" ht="15">
      <c r="K71" s="2"/>
      <c r="N71" t="s">
        <v>30</v>
      </c>
    </row>
    <row r="72" spans="3:14" ht="15">
      <c r="C72" s="8" t="s">
        <v>93</v>
      </c>
      <c r="E72" s="1">
        <f>100*(E70/E67)</f>
        <v>0.10563380281690139</v>
      </c>
      <c r="G72" s="1">
        <f>100*(G70/G67)</f>
        <v>0.05952380952380953</v>
      </c>
      <c r="H72" s="1"/>
      <c r="I72" s="1">
        <f>100*(I70/I67)</f>
        <v>0.5376344086021506</v>
      </c>
      <c r="J72" s="1"/>
      <c r="K72" s="1">
        <f>100*(K70/K67)</f>
        <v>0</v>
      </c>
      <c r="N72" t="s">
        <v>30</v>
      </c>
    </row>
    <row r="73" ht="15">
      <c r="N73" t="s">
        <v>30</v>
      </c>
    </row>
    <row r="74" spans="1:14" ht="20.25">
      <c r="A74" s="5" t="s">
        <v>94</v>
      </c>
      <c r="E74" s="10" t="s">
        <v>36</v>
      </c>
      <c r="F74" s="12"/>
      <c r="G74" s="10" t="s">
        <v>37</v>
      </c>
      <c r="H74" s="12"/>
      <c r="I74" s="10" t="s">
        <v>38</v>
      </c>
      <c r="J74" s="12"/>
      <c r="K74" s="10" t="s">
        <v>39</v>
      </c>
      <c r="N74" t="s">
        <v>30</v>
      </c>
    </row>
    <row r="75" spans="1:14" ht="15">
      <c r="A75" t="s">
        <v>95</v>
      </c>
      <c r="E75" s="2">
        <v>131</v>
      </c>
      <c r="F75" s="2"/>
      <c r="G75" s="2">
        <v>72</v>
      </c>
      <c r="H75" s="2" t="s">
        <v>96</v>
      </c>
      <c r="I75" s="2">
        <f>(38+24+23+23+21)/5</f>
        <v>25.8</v>
      </c>
      <c r="J75" s="2"/>
      <c r="K75" s="2">
        <f>(11+14)/2</f>
        <v>12.5</v>
      </c>
      <c r="L75" s="2"/>
      <c r="M75" s="2"/>
      <c r="N75" t="s">
        <v>30</v>
      </c>
    </row>
    <row r="76" spans="1:14" ht="18">
      <c r="A76" t="s">
        <v>97</v>
      </c>
      <c r="B76" s="6">
        <v>1.5</v>
      </c>
      <c r="C76" t="s">
        <v>98</v>
      </c>
      <c r="E76" s="2"/>
      <c r="F76" s="2"/>
      <c r="G76" t="s">
        <v>99</v>
      </c>
      <c r="H76" s="2"/>
      <c r="I76" s="2"/>
      <c r="J76" s="2"/>
      <c r="K76" s="2"/>
      <c r="L76" s="2"/>
      <c r="M76" s="2"/>
      <c r="N76" t="s">
        <v>30</v>
      </c>
    </row>
    <row r="77" spans="1:14" s="48" customFormat="1" ht="15">
      <c r="A77" s="48" t="s">
        <v>100</v>
      </c>
      <c r="E77" s="49">
        <f>(E75/$B$76)*0.75</f>
        <v>65.5</v>
      </c>
      <c r="F77" s="49"/>
      <c r="G77" s="49">
        <f>(G75/$B$76)*0.75</f>
        <v>36</v>
      </c>
      <c r="H77" s="49"/>
      <c r="I77" s="49">
        <f>I75/$B$76</f>
        <v>17.2</v>
      </c>
      <c r="J77" s="49"/>
      <c r="K77" s="49">
        <f>K75/$B$76</f>
        <v>8.333333333333334</v>
      </c>
      <c r="L77" s="49"/>
      <c r="M77" s="49"/>
      <c r="N77" s="48" t="s">
        <v>30</v>
      </c>
    </row>
    <row r="78" spans="13:14" ht="15">
      <c r="M78" s="2"/>
      <c r="N78" t="s">
        <v>30</v>
      </c>
    </row>
    <row r="79" spans="1:14" ht="20.25">
      <c r="A79" s="5" t="s">
        <v>101</v>
      </c>
      <c r="E79" s="10" t="s">
        <v>36</v>
      </c>
      <c r="F79" s="12"/>
      <c r="G79" s="10" t="s">
        <v>37</v>
      </c>
      <c r="H79" s="12"/>
      <c r="I79" s="10" t="s">
        <v>38</v>
      </c>
      <c r="J79" s="12"/>
      <c r="K79" s="10" t="s">
        <v>39</v>
      </c>
      <c r="N79" t="s">
        <v>30</v>
      </c>
    </row>
    <row r="80" spans="1:14" ht="15">
      <c r="A80" t="s">
        <v>102</v>
      </c>
      <c r="E80" s="1">
        <f>SUM(E77)</f>
        <v>65.5</v>
      </c>
      <c r="F80" s="2"/>
      <c r="G80" s="1">
        <f>SUM(G77)</f>
        <v>36</v>
      </c>
      <c r="H80" s="1"/>
      <c r="I80" s="1">
        <f>SUM(I77)</f>
        <v>17.2</v>
      </c>
      <c r="J80" s="1"/>
      <c r="K80" s="1">
        <f>SUM(K77)</f>
        <v>8.333333333333334</v>
      </c>
      <c r="L80" s="1"/>
      <c r="M80" s="2"/>
      <c r="N80" t="s">
        <v>30</v>
      </c>
    </row>
    <row r="81" spans="5:14" ht="15">
      <c r="E81" s="2"/>
      <c r="F81" s="2"/>
      <c r="G81" s="2"/>
      <c r="H81" s="2"/>
      <c r="I81" s="2"/>
      <c r="J81" s="2"/>
      <c r="K81" s="2"/>
      <c r="L81" s="2"/>
      <c r="M81" s="2"/>
      <c r="N81" t="s">
        <v>30</v>
      </c>
    </row>
    <row r="82" spans="1:14" ht="15">
      <c r="A82" t="s">
        <v>103</v>
      </c>
      <c r="E82" s="2">
        <f>(E40*6)+E41</f>
        <v>776</v>
      </c>
      <c r="F82" s="2"/>
      <c r="G82" s="2">
        <f>(G40*6)+G41</f>
        <v>231</v>
      </c>
      <c r="H82" s="2"/>
      <c r="I82" s="2">
        <f>(I40*6)+I41</f>
        <v>77</v>
      </c>
      <c r="J82" s="2"/>
      <c r="K82" s="2">
        <f>(K40*6)+K41</f>
        <v>45</v>
      </c>
      <c r="L82" s="2"/>
      <c r="M82" s="2"/>
      <c r="N82" t="s">
        <v>30</v>
      </c>
    </row>
    <row r="83" spans="1:14" ht="15">
      <c r="A83" t="s">
        <v>104</v>
      </c>
      <c r="E83" s="2">
        <f>E80*9</f>
        <v>589.5</v>
      </c>
      <c r="F83" s="2"/>
      <c r="G83" s="2">
        <f>G80*9</f>
        <v>324</v>
      </c>
      <c r="H83" s="2"/>
      <c r="I83" s="2">
        <f>I80*9</f>
        <v>154.79999999999998</v>
      </c>
      <c r="J83" s="2"/>
      <c r="K83" s="2">
        <f>K80*9</f>
        <v>75</v>
      </c>
      <c r="L83" s="2"/>
      <c r="M83" s="2"/>
      <c r="N83" t="s">
        <v>30</v>
      </c>
    </row>
    <row r="84" spans="5:14" ht="15">
      <c r="E84" s="2" t="s">
        <v>66</v>
      </c>
      <c r="F84" s="2"/>
      <c r="G84" s="2" t="s">
        <v>66</v>
      </c>
      <c r="H84" s="2"/>
      <c r="I84" s="2" t="s">
        <v>66</v>
      </c>
      <c r="J84" s="2"/>
      <c r="K84" s="2" t="s">
        <v>66</v>
      </c>
      <c r="L84" s="2"/>
      <c r="M84" s="2"/>
      <c r="N84" t="s">
        <v>30</v>
      </c>
    </row>
    <row r="85" spans="1:14" ht="15">
      <c r="A85" t="s">
        <v>105</v>
      </c>
      <c r="E85" s="2">
        <f>E82-E83</f>
        <v>186.5</v>
      </c>
      <c r="F85" s="2"/>
      <c r="G85" s="2">
        <f>G82-G83</f>
        <v>-93</v>
      </c>
      <c r="H85" s="2"/>
      <c r="I85" s="2">
        <f>I82-I83</f>
        <v>-77.79999999999998</v>
      </c>
      <c r="J85" s="2"/>
      <c r="K85" s="2">
        <f>K82-K83</f>
        <v>-30</v>
      </c>
      <c r="L85" s="2"/>
      <c r="M85" s="2"/>
      <c r="N85" t="s">
        <v>30</v>
      </c>
    </row>
    <row r="86" spans="1:14" ht="15">
      <c r="A86" t="s">
        <v>93</v>
      </c>
      <c r="E86" s="2">
        <f>100*(E85/E83)</f>
        <v>31.636980491942325</v>
      </c>
      <c r="F86" s="2"/>
      <c r="G86" s="2">
        <f>100*(G85/G83)</f>
        <v>-28.703703703703702</v>
      </c>
      <c r="H86" s="2"/>
      <c r="I86" s="2">
        <f>100*(I85/I83)</f>
        <v>-50.258397932816536</v>
      </c>
      <c r="J86" s="2"/>
      <c r="K86" s="2">
        <f>100*(K85/K83)</f>
        <v>-40</v>
      </c>
      <c r="L86" s="2"/>
      <c r="M86" s="2"/>
      <c r="N86" t="s">
        <v>30</v>
      </c>
    </row>
    <row r="87" spans="1:14" ht="15">
      <c r="A87" t="s">
        <v>106</v>
      </c>
      <c r="E87" s="2">
        <f>E85/9</f>
        <v>20.72222222222222</v>
      </c>
      <c r="F87" s="2"/>
      <c r="G87" s="2">
        <f>G85/9</f>
        <v>-10.333333333333334</v>
      </c>
      <c r="H87" s="2"/>
      <c r="I87" s="2">
        <f>I85/9</f>
        <v>-8.644444444444442</v>
      </c>
      <c r="J87" s="2"/>
      <c r="K87" s="2">
        <f>K85/9</f>
        <v>-3.3333333333333335</v>
      </c>
      <c r="L87" s="2"/>
      <c r="M87" s="2"/>
      <c r="N87" t="s">
        <v>30</v>
      </c>
    </row>
    <row r="88" spans="5:13" ht="15">
      <c r="E88" s="2"/>
      <c r="F88" s="2"/>
      <c r="G88" s="2"/>
      <c r="H88" s="2"/>
      <c r="I88" s="2"/>
      <c r="J88" s="2"/>
      <c r="K88" s="2"/>
      <c r="L88" s="2"/>
      <c r="M88" s="2"/>
    </row>
    <row r="89" spans="1:13" s="48" customFormat="1" ht="20.25">
      <c r="A89" s="47" t="s">
        <v>185</v>
      </c>
      <c r="E89" s="10" t="s">
        <v>36</v>
      </c>
      <c r="F89" s="12"/>
      <c r="G89" s="10" t="s">
        <v>37</v>
      </c>
      <c r="H89" s="12"/>
      <c r="I89" s="10" t="s">
        <v>38</v>
      </c>
      <c r="J89" s="12"/>
      <c r="K89" s="10" t="s">
        <v>39</v>
      </c>
      <c r="L89" s="49"/>
      <c r="M89" s="49"/>
    </row>
    <row r="90" spans="1:13" s="48" customFormat="1" ht="15">
      <c r="A90" s="50" t="s">
        <v>188</v>
      </c>
      <c r="B90" s="50">
        <v>3.3</v>
      </c>
      <c r="D90" s="48" t="s">
        <v>411</v>
      </c>
      <c r="E90" s="49"/>
      <c r="F90" s="49"/>
      <c r="G90" s="49"/>
      <c r="H90" s="49"/>
      <c r="I90" s="49"/>
      <c r="J90" s="49"/>
      <c r="K90" s="49"/>
      <c r="L90" s="49"/>
      <c r="M90" s="49"/>
    </row>
    <row r="91" spans="1:13" s="48" customFormat="1" ht="15">
      <c r="A91" s="50" t="s">
        <v>189</v>
      </c>
      <c r="B91" s="50">
        <v>1.5</v>
      </c>
      <c r="E91" s="49">
        <f>E77*$B$94</f>
        <v>216.14999999999998</v>
      </c>
      <c r="F91" s="49"/>
      <c r="G91" s="49">
        <f>G77*$B$94</f>
        <v>118.8</v>
      </c>
      <c r="H91" s="49"/>
      <c r="I91" s="49">
        <f>I77*$B$94</f>
        <v>56.76</v>
      </c>
      <c r="J91" s="49"/>
      <c r="K91" s="49">
        <f>K77*$B$94</f>
        <v>27.5</v>
      </c>
      <c r="L91" s="49"/>
      <c r="M91" s="49"/>
    </row>
    <row r="92" spans="1:13" s="48" customFormat="1" ht="15">
      <c r="A92" s="50" t="s">
        <v>67</v>
      </c>
      <c r="B92" s="50">
        <f>SUM(B90:B91)</f>
        <v>4.8</v>
      </c>
      <c r="D92" s="48" t="s">
        <v>414</v>
      </c>
      <c r="E92" s="49"/>
      <c r="F92" s="49"/>
      <c r="G92" s="49"/>
      <c r="H92" s="49"/>
      <c r="I92" s="49"/>
      <c r="J92" s="49"/>
      <c r="K92" s="49"/>
      <c r="L92" s="49"/>
      <c r="M92" s="49"/>
    </row>
    <row r="93" spans="1:13" s="48" customFormat="1" ht="15">
      <c r="A93" s="48" t="s">
        <v>187</v>
      </c>
      <c r="B93" s="48" t="s">
        <v>186</v>
      </c>
      <c r="E93" s="48">
        <f>SUM(E41)</f>
        <v>50</v>
      </c>
      <c r="G93" s="48">
        <f>SUM(G41)</f>
        <v>45</v>
      </c>
      <c r="H93" s="49"/>
      <c r="I93" s="48">
        <f>SUM(I41)</f>
        <v>29</v>
      </c>
      <c r="J93" s="49"/>
      <c r="K93" s="48">
        <f>SUM(K41)</f>
        <v>15</v>
      </c>
      <c r="L93" s="49"/>
      <c r="M93" s="49"/>
    </row>
    <row r="94" spans="1:13" s="48" customFormat="1" ht="18">
      <c r="A94" s="48" t="s">
        <v>412</v>
      </c>
      <c r="B94" s="6">
        <v>3.3</v>
      </c>
      <c r="C94" s="48" t="s">
        <v>413</v>
      </c>
      <c r="E94" s="53">
        <f>E91-E93</f>
        <v>166.14999999999998</v>
      </c>
      <c r="G94" s="53">
        <f>G91-G93</f>
        <v>73.8</v>
      </c>
      <c r="H94" s="49"/>
      <c r="I94" s="53">
        <f>I91-I93</f>
        <v>27.759999999999998</v>
      </c>
      <c r="J94" s="49"/>
      <c r="K94" s="53">
        <f>K91-K93</f>
        <v>12.5</v>
      </c>
      <c r="L94" s="49"/>
      <c r="M94" s="49"/>
    </row>
    <row r="95" spans="1:13" s="48" customFormat="1" ht="15">
      <c r="A95" s="51" t="s">
        <v>409</v>
      </c>
      <c r="E95" s="49"/>
      <c r="F95" s="49"/>
      <c r="G95" s="49"/>
      <c r="H95" s="49"/>
      <c r="I95" s="49"/>
      <c r="J95" s="49"/>
      <c r="K95" s="49"/>
      <c r="L95" s="49"/>
      <c r="M95" s="49"/>
    </row>
    <row r="96" spans="5:13" ht="15">
      <c r="E96" s="2"/>
      <c r="F96" s="2"/>
      <c r="G96" s="2"/>
      <c r="H96" s="2"/>
      <c r="I96" s="2"/>
      <c r="J96" s="2"/>
      <c r="K96" s="2"/>
      <c r="L96" s="2"/>
      <c r="M96" s="2"/>
    </row>
    <row r="97" spans="1:14" ht="15">
      <c r="A97" t="s">
        <v>107</v>
      </c>
      <c r="B97" t="s">
        <v>107</v>
      </c>
      <c r="C97" t="s">
        <v>107</v>
      </c>
      <c r="D97" t="s">
        <v>107</v>
      </c>
      <c r="E97" s="2" t="s">
        <v>107</v>
      </c>
      <c r="F97" s="2" t="s">
        <v>107</v>
      </c>
      <c r="G97" s="2" t="s">
        <v>107</v>
      </c>
      <c r="H97" s="2" t="s">
        <v>107</v>
      </c>
      <c r="I97" s="2" t="s">
        <v>107</v>
      </c>
      <c r="J97" s="2" t="s">
        <v>107</v>
      </c>
      <c r="K97" s="2" t="s">
        <v>107</v>
      </c>
      <c r="L97" s="2" t="s">
        <v>107</v>
      </c>
      <c r="M97" s="2"/>
      <c r="N97" t="s">
        <v>30</v>
      </c>
    </row>
    <row r="98" spans="1:14" ht="18">
      <c r="A98" s="5"/>
      <c r="B98" s="5"/>
      <c r="D98" t="s">
        <v>109</v>
      </c>
      <c r="N98" t="s">
        <v>30</v>
      </c>
    </row>
    <row r="99" spans="1:14" ht="18">
      <c r="A99" s="5" t="s">
        <v>110</v>
      </c>
      <c r="B99" s="5"/>
      <c r="N99" t="s">
        <v>30</v>
      </c>
    </row>
    <row r="100" spans="1:14" ht="18">
      <c r="A100" s="5" t="s">
        <v>111</v>
      </c>
      <c r="B100" s="5"/>
      <c r="E100" s="11" t="s">
        <v>112</v>
      </c>
      <c r="F100" s="11"/>
      <c r="G100" s="11"/>
      <c r="H100" s="11"/>
      <c r="N100" t="s">
        <v>30</v>
      </c>
    </row>
    <row r="101" spans="1:14" ht="18">
      <c r="A101" s="5" t="s">
        <v>113</v>
      </c>
      <c r="B101" s="5"/>
      <c r="E101" t="s">
        <v>114</v>
      </c>
      <c r="N101" t="s">
        <v>30</v>
      </c>
    </row>
    <row r="102" spans="5:14" ht="15">
      <c r="E102" t="s">
        <v>115</v>
      </c>
      <c r="N102" t="s">
        <v>30</v>
      </c>
    </row>
    <row r="103" spans="2:14" ht="15">
      <c r="B103" t="s">
        <v>116</v>
      </c>
      <c r="D103" t="s">
        <v>82</v>
      </c>
      <c r="E103">
        <v>3</v>
      </c>
      <c r="F103" t="s">
        <v>117</v>
      </c>
      <c r="G103" s="2">
        <f>SUM(C116)</f>
        <v>316.8</v>
      </c>
      <c r="H103" t="s">
        <v>118</v>
      </c>
      <c r="I103" s="2">
        <f>G103*E103</f>
        <v>950.4000000000001</v>
      </c>
      <c r="J103" t="s">
        <v>119</v>
      </c>
      <c r="N103" t="s">
        <v>30</v>
      </c>
    </row>
    <row r="104" spans="1:14" ht="15">
      <c r="A104" t="s">
        <v>120</v>
      </c>
      <c r="C104">
        <v>1</v>
      </c>
      <c r="D104" s="9">
        <f>100*(C104/$C$108)</f>
        <v>4</v>
      </c>
      <c r="E104" t="s">
        <v>121</v>
      </c>
      <c r="N104" t="s">
        <v>30</v>
      </c>
    </row>
    <row r="105" spans="1:14" ht="15">
      <c r="A105" t="s">
        <v>122</v>
      </c>
      <c r="C105">
        <v>9</v>
      </c>
      <c r="D105" s="9">
        <f>100*(C105/$C$108)</f>
        <v>36</v>
      </c>
      <c r="N105" t="s">
        <v>30</v>
      </c>
    </row>
    <row r="106" spans="1:14" ht="15">
      <c r="A106" t="s">
        <v>123</v>
      </c>
      <c r="C106">
        <v>15</v>
      </c>
      <c r="D106" s="9">
        <f>100*(C106/$C$108)</f>
        <v>60</v>
      </c>
      <c r="N106" t="s">
        <v>30</v>
      </c>
    </row>
    <row r="107" spans="3:14" ht="15">
      <c r="C107" t="s">
        <v>66</v>
      </c>
      <c r="N107" t="s">
        <v>30</v>
      </c>
    </row>
    <row r="108" spans="1:14" ht="18">
      <c r="A108" t="s">
        <v>124</v>
      </c>
      <c r="C108">
        <f>SUM(C104:C106)</f>
        <v>25</v>
      </c>
      <c r="E108" s="5" t="s">
        <v>125</v>
      </c>
      <c r="F108" s="5"/>
      <c r="G108" s="5"/>
      <c r="H108" s="5"/>
      <c r="N108" t="s">
        <v>30</v>
      </c>
    </row>
    <row r="109" ht="15">
      <c r="N109" t="s">
        <v>30</v>
      </c>
    </row>
    <row r="110" spans="5:14" ht="15">
      <c r="E110" t="s">
        <v>126</v>
      </c>
      <c r="N110" t="s">
        <v>30</v>
      </c>
    </row>
    <row r="111" spans="1:14" ht="15">
      <c r="A111" t="s">
        <v>127</v>
      </c>
      <c r="C111" t="s">
        <v>119</v>
      </c>
      <c r="D111" t="s">
        <v>82</v>
      </c>
      <c r="E111" t="s">
        <v>128</v>
      </c>
      <c r="N111" t="s">
        <v>30</v>
      </c>
    </row>
    <row r="112" spans="1:14" ht="15">
      <c r="A112" t="s">
        <v>129</v>
      </c>
      <c r="C112" s="2">
        <f>C104+G80</f>
        <v>37</v>
      </c>
      <c r="D112" s="9">
        <f>100*(C112/$C$116)</f>
        <v>11.679292929292929</v>
      </c>
      <c r="E112" t="s">
        <v>130</v>
      </c>
      <c r="N112" t="s">
        <v>30</v>
      </c>
    </row>
    <row r="113" spans="1:14" ht="15">
      <c r="A113" t="s">
        <v>131</v>
      </c>
      <c r="C113" s="2">
        <f>C105*I80</f>
        <v>154.79999999999998</v>
      </c>
      <c r="D113" s="9">
        <f>100*(C113/$C$116)</f>
        <v>48.86363636363636</v>
      </c>
      <c r="E113" t="s">
        <v>132</v>
      </c>
      <c r="N113" t="s">
        <v>30</v>
      </c>
    </row>
    <row r="114" spans="1:14" ht="15">
      <c r="A114" t="s">
        <v>133</v>
      </c>
      <c r="C114" s="2">
        <f>C106*K80</f>
        <v>125.00000000000001</v>
      </c>
      <c r="D114" s="9">
        <f>100*(C114/$C$116)</f>
        <v>39.45707070707071</v>
      </c>
      <c r="E114" t="s">
        <v>134</v>
      </c>
      <c r="N114" t="s">
        <v>30</v>
      </c>
    </row>
    <row r="115" spans="3:14" ht="15">
      <c r="C115" s="2" t="s">
        <v>66</v>
      </c>
      <c r="D115" s="9"/>
      <c r="E115" t="s">
        <v>135</v>
      </c>
      <c r="N115" t="s">
        <v>30</v>
      </c>
    </row>
    <row r="116" spans="1:14" ht="15">
      <c r="A116" t="s">
        <v>124</v>
      </c>
      <c r="C116" s="2">
        <f>SUM(C112:C114)</f>
        <v>316.8</v>
      </c>
      <c r="E116" t="s">
        <v>136</v>
      </c>
      <c r="N116" t="s">
        <v>30</v>
      </c>
    </row>
    <row r="117" spans="5:14" ht="15">
      <c r="E117" t="s">
        <v>137</v>
      </c>
      <c r="H117" s="1">
        <v>0.1</v>
      </c>
      <c r="I117" t="s">
        <v>82</v>
      </c>
      <c r="N117" t="s">
        <v>30</v>
      </c>
    </row>
    <row r="118" spans="5:14" ht="15">
      <c r="E118" t="s">
        <v>138</v>
      </c>
      <c r="H118" s="1">
        <v>0.1</v>
      </c>
      <c r="I118" t="s">
        <v>82</v>
      </c>
      <c r="N118" t="s">
        <v>30</v>
      </c>
    </row>
    <row r="119" ht="15">
      <c r="N119" t="s">
        <v>30</v>
      </c>
    </row>
    <row r="120" ht="15">
      <c r="N120" t="s">
        <v>30</v>
      </c>
    </row>
    <row r="121" spans="1:14" ht="15">
      <c r="A121" t="s">
        <v>139</v>
      </c>
      <c r="E121" s="8" t="s">
        <v>36</v>
      </c>
      <c r="F121" s="8"/>
      <c r="G121" s="8" t="s">
        <v>140</v>
      </c>
      <c r="H121" s="8"/>
      <c r="I121" s="8" t="s">
        <v>38</v>
      </c>
      <c r="J121" s="8"/>
      <c r="K121" s="8" t="s">
        <v>39</v>
      </c>
      <c r="L121" s="8"/>
      <c r="N121" t="s">
        <v>30</v>
      </c>
    </row>
    <row r="122" spans="1:14" ht="15">
      <c r="A122" t="s">
        <v>141</v>
      </c>
      <c r="E122" s="8" t="s">
        <v>142</v>
      </c>
      <c r="F122" s="8"/>
      <c r="G122" s="8" t="s">
        <v>143</v>
      </c>
      <c r="H122" s="8"/>
      <c r="I122" s="8" t="s">
        <v>144</v>
      </c>
      <c r="J122" s="8"/>
      <c r="K122" s="8" t="s">
        <v>145</v>
      </c>
      <c r="N122" t="s">
        <v>30</v>
      </c>
    </row>
    <row r="123" spans="1:14" ht="15">
      <c r="A123" t="s">
        <v>146</v>
      </c>
      <c r="E123">
        <v>0</v>
      </c>
      <c r="G123">
        <v>1</v>
      </c>
      <c r="I123">
        <v>9</v>
      </c>
      <c r="K123">
        <v>15</v>
      </c>
      <c r="N123" t="s">
        <v>30</v>
      </c>
    </row>
    <row r="124" ht="15">
      <c r="N124" t="s">
        <v>30</v>
      </c>
    </row>
    <row r="125" spans="1:14" ht="15">
      <c r="A125" t="s">
        <v>147</v>
      </c>
      <c r="E125" s="1"/>
      <c r="F125" s="1"/>
      <c r="G125" s="1">
        <f>SUM(G82)</f>
        <v>231</v>
      </c>
      <c r="H125" s="1"/>
      <c r="I125" s="1">
        <f>SUM(I82)</f>
        <v>77</v>
      </c>
      <c r="J125" s="1"/>
      <c r="K125" s="1">
        <f>SUM(K82)</f>
        <v>45</v>
      </c>
      <c r="N125" t="s">
        <v>30</v>
      </c>
    </row>
    <row r="126" spans="1:14" ht="15">
      <c r="A126" t="s">
        <v>148</v>
      </c>
      <c r="E126" s="1"/>
      <c r="F126" s="1"/>
      <c r="G126" s="1">
        <f>SUM(G83)</f>
        <v>324</v>
      </c>
      <c r="H126" s="1"/>
      <c r="I126" s="1">
        <f>SUM(I83)</f>
        <v>154.79999999999998</v>
      </c>
      <c r="J126" s="1"/>
      <c r="K126" s="1">
        <f>SUM(K83)</f>
        <v>75</v>
      </c>
      <c r="N126" t="s">
        <v>30</v>
      </c>
    </row>
    <row r="127" spans="1:14" ht="15">
      <c r="A127" t="s">
        <v>149</v>
      </c>
      <c r="C127" s="2"/>
      <c r="D127" s="2"/>
      <c r="E127" s="1"/>
      <c r="F127" s="1"/>
      <c r="G127" s="1">
        <v>0</v>
      </c>
      <c r="H127" s="1"/>
      <c r="I127" s="1">
        <f>I125*H117</f>
        <v>7.7</v>
      </c>
      <c r="J127" s="1"/>
      <c r="K127" s="1">
        <f>K125*H117</f>
        <v>4.5</v>
      </c>
      <c r="L127" s="2"/>
      <c r="N127" t="s">
        <v>30</v>
      </c>
    </row>
    <row r="128" spans="1:14" ht="15">
      <c r="A128" t="s">
        <v>150</v>
      </c>
      <c r="C128" s="2"/>
      <c r="D128" s="2"/>
      <c r="E128" s="1"/>
      <c r="F128" s="1"/>
      <c r="G128" s="1">
        <v>0</v>
      </c>
      <c r="H128" s="1"/>
      <c r="I128" s="1">
        <v>0</v>
      </c>
      <c r="J128" s="1"/>
      <c r="K128" s="1">
        <f>K125*H118</f>
        <v>4.5</v>
      </c>
      <c r="L128" s="2"/>
      <c r="N128" t="s">
        <v>30</v>
      </c>
    </row>
    <row r="129" spans="1:14" ht="15">
      <c r="A129" t="s">
        <v>151</v>
      </c>
      <c r="C129" s="2"/>
      <c r="D129" s="2"/>
      <c r="F129" s="1"/>
      <c r="G129" s="1">
        <v>0</v>
      </c>
      <c r="H129" s="1"/>
      <c r="I129" s="1">
        <f>SUM(I127:I128)</f>
        <v>7.7</v>
      </c>
      <c r="J129" s="1"/>
      <c r="K129" s="1">
        <f>SUM(K127:K128)</f>
        <v>9</v>
      </c>
      <c r="L129" s="2"/>
      <c r="N129" t="s">
        <v>30</v>
      </c>
    </row>
    <row r="130" spans="1:14" ht="15">
      <c r="A130" t="s">
        <v>152</v>
      </c>
      <c r="C130" s="2">
        <f>(SUM(I127)*I123+SUM(K127)*K123)+$G$127</f>
        <v>136.8</v>
      </c>
      <c r="D130" s="2"/>
      <c r="E130" s="1" t="s">
        <v>153</v>
      </c>
      <c r="F130" s="1"/>
      <c r="G130" s="1"/>
      <c r="H130" s="1"/>
      <c r="I130" s="1"/>
      <c r="J130" s="1"/>
      <c r="K130" s="1"/>
      <c r="L130" s="2"/>
      <c r="N130" t="s">
        <v>30</v>
      </c>
    </row>
    <row r="131" spans="1:14" ht="15">
      <c r="A131" t="s">
        <v>154</v>
      </c>
      <c r="C131" s="1">
        <f>C130/4</f>
        <v>34.2</v>
      </c>
      <c r="E131" t="s">
        <v>155</v>
      </c>
      <c r="N131" t="s">
        <v>30</v>
      </c>
    </row>
    <row r="132" spans="1:14" ht="15">
      <c r="A132" t="s">
        <v>156</v>
      </c>
      <c r="C132" s="1">
        <f>C130/4</f>
        <v>34.2</v>
      </c>
      <c r="D132" t="s">
        <v>118</v>
      </c>
      <c r="E132">
        <f>C132/9</f>
        <v>3.8000000000000003</v>
      </c>
      <c r="N132" t="s">
        <v>30</v>
      </c>
    </row>
    <row r="133" spans="1:14" ht="15">
      <c r="A133" t="s">
        <v>157</v>
      </c>
      <c r="C133" s="2"/>
      <c r="D133" s="2"/>
      <c r="E133" s="1"/>
      <c r="F133" s="1"/>
      <c r="G133" s="1">
        <f>(C130)/2</f>
        <v>68.4</v>
      </c>
      <c r="H133" s="1"/>
      <c r="I133" s="1">
        <v>0</v>
      </c>
      <c r="J133" s="1"/>
      <c r="K133" s="1">
        <v>0</v>
      </c>
      <c r="L133" s="2"/>
      <c r="N133" t="s">
        <v>30</v>
      </c>
    </row>
    <row r="134" spans="1:14" ht="15">
      <c r="A134" t="s">
        <v>158</v>
      </c>
      <c r="C134" s="2"/>
      <c r="D134" s="2"/>
      <c r="E134" s="1"/>
      <c r="F134" s="1"/>
      <c r="G134" s="1">
        <f>K129*6</f>
        <v>54</v>
      </c>
      <c r="H134" s="1"/>
      <c r="I134" s="1">
        <f>K129*1</f>
        <v>9</v>
      </c>
      <c r="J134" s="1"/>
      <c r="K134" s="1">
        <v>0</v>
      </c>
      <c r="L134" s="2"/>
      <c r="N134" t="s">
        <v>30</v>
      </c>
    </row>
    <row r="135" spans="1:14" ht="15">
      <c r="A135" t="s">
        <v>159</v>
      </c>
      <c r="C135" s="2"/>
      <c r="D135" s="2"/>
      <c r="E135" s="1"/>
      <c r="F135" s="1"/>
      <c r="G135" s="1">
        <f>SUM(G133:G134)</f>
        <v>122.4</v>
      </c>
      <c r="H135" s="1"/>
      <c r="I135" s="1">
        <f>SUM(I133:I134)</f>
        <v>9</v>
      </c>
      <c r="J135" s="1"/>
      <c r="K135" s="1">
        <f>SUM(K133:K134)</f>
        <v>0</v>
      </c>
      <c r="L135" s="2"/>
      <c r="N135" t="s">
        <v>30</v>
      </c>
    </row>
    <row r="136" spans="1:14" ht="15">
      <c r="A136" t="s">
        <v>160</v>
      </c>
      <c r="C136" s="2"/>
      <c r="D136" s="2"/>
      <c r="E136" s="1"/>
      <c r="F136" s="1"/>
      <c r="G136" s="1">
        <f>(G125+G135)-(G129+G126)</f>
        <v>29.399999999999977</v>
      </c>
      <c r="H136" s="1"/>
      <c r="I136" s="1">
        <f>(I125+I135)-(I129+I126)</f>
        <v>-76.49999999999997</v>
      </c>
      <c r="J136" s="1"/>
      <c r="K136" s="1">
        <f>(K125+K135)-(K129+K126)</f>
        <v>-39</v>
      </c>
      <c r="L136" s="2"/>
      <c r="N136" t="s">
        <v>30</v>
      </c>
    </row>
    <row r="137" spans="1:14" ht="15">
      <c r="A137" t="s">
        <v>161</v>
      </c>
      <c r="C137" s="2"/>
      <c r="D137" s="2"/>
      <c r="E137" s="1"/>
      <c r="F137" s="1"/>
      <c r="G137" s="1">
        <f>100*(G136/G125)</f>
        <v>12.727272727272718</v>
      </c>
      <c r="H137" s="1"/>
      <c r="I137" s="1">
        <f>100*(I136/I125)</f>
        <v>-99.3506493506493</v>
      </c>
      <c r="J137" s="1"/>
      <c r="K137" s="1">
        <f>100*(K136/K125)</f>
        <v>-86.66666666666667</v>
      </c>
      <c r="L137" s="1"/>
      <c r="N137" t="s">
        <v>30</v>
      </c>
    </row>
    <row r="138" spans="3:14" ht="15">
      <c r="C138" s="2"/>
      <c r="D138" s="2"/>
      <c r="E138" s="2"/>
      <c r="F138" s="2"/>
      <c r="G138" s="2"/>
      <c r="H138" s="2"/>
      <c r="I138" s="2"/>
      <c r="J138" s="2"/>
      <c r="K138" s="2"/>
      <c r="L138" s="2"/>
      <c r="N138" t="s">
        <v>30</v>
      </c>
    </row>
    <row r="139" spans="1:14" ht="15">
      <c r="A139" t="s">
        <v>66</v>
      </c>
      <c r="B139" t="s">
        <v>66</v>
      </c>
      <c r="C139" t="s">
        <v>66</v>
      </c>
      <c r="D139" t="s">
        <v>66</v>
      </c>
      <c r="E139" t="s">
        <v>66</v>
      </c>
      <c r="F139" t="s">
        <v>66</v>
      </c>
      <c r="G139" t="s">
        <v>66</v>
      </c>
      <c r="H139" t="s">
        <v>66</v>
      </c>
      <c r="I139" t="s">
        <v>66</v>
      </c>
      <c r="J139" t="s">
        <v>66</v>
      </c>
      <c r="K139" t="s">
        <v>66</v>
      </c>
      <c r="L139" t="s">
        <v>66</v>
      </c>
      <c r="M139" t="s">
        <v>66</v>
      </c>
      <c r="N139" t="s">
        <v>66</v>
      </c>
    </row>
    <row r="140" spans="1:14" ht="15">
      <c r="A140" t="s">
        <v>162</v>
      </c>
      <c r="C140" s="2"/>
      <c r="D140" s="2"/>
      <c r="E140" s="2"/>
      <c r="F140" s="2"/>
      <c r="G140" s="2"/>
      <c r="H140" s="2"/>
      <c r="I140" s="2"/>
      <c r="J140" s="2"/>
      <c r="K140" s="2"/>
      <c r="L140" s="2"/>
      <c r="N140" t="s">
        <v>30</v>
      </c>
    </row>
    <row r="141" spans="1:14" ht="15">
      <c r="A141" t="s">
        <v>163</v>
      </c>
      <c r="C141" s="2" t="s">
        <v>164</v>
      </c>
      <c r="D141" s="2"/>
      <c r="E141" s="2">
        <v>1</v>
      </c>
      <c r="F141" s="2"/>
      <c r="G141" s="2">
        <v>2</v>
      </c>
      <c r="H141" s="2"/>
      <c r="I141" s="2">
        <v>3</v>
      </c>
      <c r="J141" s="2"/>
      <c r="K141" s="2">
        <v>4</v>
      </c>
      <c r="L141" s="2"/>
      <c r="M141" s="2"/>
      <c r="N141" t="s">
        <v>30</v>
      </c>
    </row>
    <row r="142" spans="1:14" ht="15">
      <c r="A142" t="s">
        <v>165</v>
      </c>
      <c r="C142" s="2"/>
      <c r="D142" s="2"/>
      <c r="E142" s="2"/>
      <c r="F142" s="2"/>
      <c r="G142" s="2"/>
      <c r="H142" s="2"/>
      <c r="I142" s="2"/>
      <c r="J142" s="2"/>
      <c r="K142" s="2"/>
      <c r="L142" s="2"/>
      <c r="M142" s="2"/>
      <c r="N142" t="s">
        <v>30</v>
      </c>
    </row>
    <row r="143" spans="3:14" ht="15">
      <c r="C143" s="2" t="s">
        <v>166</v>
      </c>
      <c r="D143" s="2"/>
      <c r="E143" s="2">
        <v>121</v>
      </c>
      <c r="F143" s="2"/>
      <c r="G143" s="2">
        <v>31</v>
      </c>
      <c r="H143" s="2"/>
      <c r="I143" s="2">
        <v>8</v>
      </c>
      <c r="J143" s="2"/>
      <c r="K143" s="2">
        <v>5</v>
      </c>
      <c r="L143" s="2"/>
      <c r="M143" s="2"/>
      <c r="N143" t="s">
        <v>30</v>
      </c>
    </row>
    <row r="144" spans="3:14" ht="15">
      <c r="C144" s="2" t="s">
        <v>167</v>
      </c>
      <c r="D144" s="2"/>
      <c r="E144" s="2">
        <v>50</v>
      </c>
      <c r="F144" s="2"/>
      <c r="G144" s="2">
        <v>45</v>
      </c>
      <c r="H144" s="2"/>
      <c r="I144" s="2">
        <v>29</v>
      </c>
      <c r="J144" s="2"/>
      <c r="K144" s="2">
        <v>15</v>
      </c>
      <c r="L144" s="2"/>
      <c r="M144" s="2"/>
      <c r="N144" t="s">
        <v>30</v>
      </c>
    </row>
    <row r="145" spans="3:14" ht="15">
      <c r="C145" s="2" t="s">
        <v>168</v>
      </c>
      <c r="D145" s="2"/>
      <c r="E145" s="2">
        <f>E143-E40</f>
        <v>0</v>
      </c>
      <c r="F145" s="2"/>
      <c r="G145" s="2">
        <f>G143-G40</f>
        <v>0</v>
      </c>
      <c r="H145" s="2"/>
      <c r="I145" s="2">
        <f>I143-I40</f>
        <v>0</v>
      </c>
      <c r="J145" s="2"/>
      <c r="K145" s="2">
        <f>K143-K40</f>
        <v>0</v>
      </c>
      <c r="L145" s="2"/>
      <c r="M145" s="2"/>
      <c r="N145" t="s">
        <v>30</v>
      </c>
    </row>
    <row r="146" spans="3:14" ht="15">
      <c r="C146" s="2" t="s">
        <v>169</v>
      </c>
      <c r="D146" s="2"/>
      <c r="E146" s="2">
        <f>E144-E41</f>
        <v>0</v>
      </c>
      <c r="F146" s="2"/>
      <c r="G146" s="2">
        <f>G144-G41</f>
        <v>0</v>
      </c>
      <c r="H146" s="2"/>
      <c r="I146" s="2">
        <f>I144-I41</f>
        <v>0</v>
      </c>
      <c r="J146" s="2"/>
      <c r="K146" s="2">
        <f>K144-K41</f>
        <v>0</v>
      </c>
      <c r="L146" s="2"/>
      <c r="M146" s="2"/>
      <c r="N146" t="s">
        <v>30</v>
      </c>
    </row>
    <row r="147" spans="3:14" ht="15">
      <c r="C147" s="2"/>
      <c r="D147" s="2"/>
      <c r="E147" s="2"/>
      <c r="F147" s="2"/>
      <c r="G147" s="2"/>
      <c r="H147" s="2"/>
      <c r="I147" s="2"/>
      <c r="J147" s="2"/>
      <c r="K147" s="2"/>
      <c r="L147" s="2"/>
      <c r="M147" s="2"/>
      <c r="N147" t="s">
        <v>30</v>
      </c>
    </row>
    <row r="148" spans="1:14" ht="15">
      <c r="A148" t="s">
        <v>170</v>
      </c>
      <c r="C148" s="2"/>
      <c r="D148" s="2"/>
      <c r="E148" s="2">
        <f>SUM(E145:E146)</f>
        <v>0</v>
      </c>
      <c r="F148" s="2"/>
      <c r="G148" s="2">
        <f>SUM(G145:G146)</f>
        <v>0</v>
      </c>
      <c r="H148" s="2"/>
      <c r="I148" s="2">
        <f>SUM(I145:I146)</f>
        <v>0</v>
      </c>
      <c r="J148" s="2"/>
      <c r="K148" s="2">
        <f>SUM(K145:K146)</f>
        <v>0</v>
      </c>
      <c r="L148" s="2"/>
      <c r="M148" s="2"/>
      <c r="N148" t="s">
        <v>30</v>
      </c>
    </row>
    <row r="149" spans="1:14" ht="15">
      <c r="A149" t="s">
        <v>171</v>
      </c>
      <c r="C149" s="2"/>
      <c r="D149" s="2"/>
      <c r="E149" s="2">
        <f>100*(E145/E143)</f>
        <v>0</v>
      </c>
      <c r="F149" s="2"/>
      <c r="G149" s="2">
        <f>100*(G145/G143)</f>
        <v>0</v>
      </c>
      <c r="H149" s="2"/>
      <c r="I149" s="2">
        <f>100*(I145/I143)</f>
        <v>0</v>
      </c>
      <c r="J149" s="2"/>
      <c r="K149" s="2">
        <f>100*(K145/K143)</f>
        <v>0</v>
      </c>
      <c r="L149" s="2"/>
      <c r="M149" s="2"/>
      <c r="N149" t="s">
        <v>30</v>
      </c>
    </row>
    <row r="150" spans="1:14" ht="15">
      <c r="A150" t="s">
        <v>172</v>
      </c>
      <c r="C150" s="2"/>
      <c r="D150" s="2"/>
      <c r="E150" s="2">
        <f>100*(E146/E144)</f>
        <v>0</v>
      </c>
      <c r="F150" s="2"/>
      <c r="G150" s="2">
        <f>100*(G146/G144)</f>
        <v>0</v>
      </c>
      <c r="H150" s="2"/>
      <c r="I150" s="2">
        <f>100*(I146/I144)</f>
        <v>0</v>
      </c>
      <c r="J150" s="2"/>
      <c r="K150" s="2">
        <f>100*(K146/K144)</f>
        <v>0</v>
      </c>
      <c r="L150" s="2"/>
      <c r="M150" s="2"/>
      <c r="N150" t="s">
        <v>30</v>
      </c>
    </row>
    <row r="151" spans="3:14" ht="15">
      <c r="C151" s="2"/>
      <c r="D151" s="2"/>
      <c r="E151" s="2"/>
      <c r="F151" s="2"/>
      <c r="G151" s="2"/>
      <c r="H151" s="2"/>
      <c r="I151" s="2"/>
      <c r="J151" s="2"/>
      <c r="K151" s="2"/>
      <c r="L151" s="2"/>
      <c r="M151" s="2"/>
      <c r="N151" t="s">
        <v>30</v>
      </c>
    </row>
    <row r="152" spans="3:14" ht="15">
      <c r="C152" s="2"/>
      <c r="D152" s="2"/>
      <c r="E152" s="2"/>
      <c r="F152" s="2"/>
      <c r="G152" s="2"/>
      <c r="H152" s="2"/>
      <c r="I152" s="2"/>
      <c r="J152" s="2"/>
      <c r="K152" s="2"/>
      <c r="L152" s="2"/>
      <c r="M152" s="2"/>
      <c r="N152" t="s">
        <v>30</v>
      </c>
    </row>
    <row r="153" spans="3:13" ht="15">
      <c r="C153" s="2"/>
      <c r="D153" s="2"/>
      <c r="E153" s="2"/>
      <c r="F153" s="2"/>
      <c r="G153" s="2"/>
      <c r="H153" s="2"/>
      <c r="I153" s="2"/>
      <c r="J153" s="2"/>
      <c r="K153" s="2"/>
      <c r="L153" s="2"/>
      <c r="M153" s="2"/>
    </row>
    <row r="154" spans="3:12" ht="15">
      <c r="C154" s="2"/>
      <c r="D154" s="2"/>
      <c r="E154" s="2"/>
      <c r="F154" s="2"/>
      <c r="G154" s="2"/>
      <c r="H154" s="2"/>
      <c r="I154" s="2"/>
      <c r="J154" s="2"/>
      <c r="K154" s="2"/>
      <c r="L154" s="2"/>
    </row>
    <row r="155" spans="3:12" ht="15">
      <c r="C155" s="2"/>
      <c r="D155" s="2"/>
      <c r="E155" s="2"/>
      <c r="F155" s="2"/>
      <c r="G155" s="2"/>
      <c r="H155" s="2"/>
      <c r="I155" s="2"/>
      <c r="J155" s="2"/>
      <c r="K155" s="2"/>
      <c r="L155" s="2"/>
    </row>
    <row r="156" spans="3:12" ht="15">
      <c r="C156" s="2"/>
      <c r="D156" s="2"/>
      <c r="E156" s="2"/>
      <c r="F156" s="2"/>
      <c r="G156" s="2"/>
      <c r="H156" s="2"/>
      <c r="I156" s="2"/>
      <c r="J156" s="2"/>
      <c r="K156" s="2"/>
      <c r="L156" s="2"/>
    </row>
    <row r="157" spans="3:12" ht="15">
      <c r="C157" s="2"/>
      <c r="D157" s="2"/>
      <c r="E157" s="2"/>
      <c r="F157" s="2"/>
      <c r="G157" s="2"/>
      <c r="H157" s="2"/>
      <c r="I157" s="2"/>
      <c r="J157" s="2"/>
      <c r="K157" s="2"/>
      <c r="L157" s="2"/>
    </row>
    <row r="158" spans="3:12" ht="15">
      <c r="C158" s="2"/>
      <c r="D158" s="2"/>
      <c r="E158" s="2"/>
      <c r="F158" s="2"/>
      <c r="G158" s="2"/>
      <c r="H158" s="2"/>
      <c r="I158" s="2"/>
      <c r="J158" s="2"/>
      <c r="K158" s="2"/>
      <c r="L158" s="2"/>
    </row>
    <row r="159" spans="3:12" ht="15">
      <c r="C159" s="2"/>
      <c r="D159" s="2"/>
      <c r="E159" s="2"/>
      <c r="F159" s="2"/>
      <c r="G159" s="2"/>
      <c r="H159" s="2"/>
      <c r="I159" s="2"/>
      <c r="J159" s="2"/>
      <c r="K159" s="2"/>
      <c r="L159" s="2"/>
    </row>
    <row r="160" spans="3:12" ht="15">
      <c r="C160" s="2"/>
      <c r="D160" s="2"/>
      <c r="E160" s="2"/>
      <c r="F160" s="2"/>
      <c r="G160" s="2"/>
      <c r="H160" s="2"/>
      <c r="I160" s="2"/>
      <c r="J160" s="2"/>
      <c r="K160" s="2"/>
      <c r="L160" s="2"/>
    </row>
    <row r="161" spans="3:12" ht="15">
      <c r="C161" s="2"/>
      <c r="D161" s="2"/>
      <c r="E161" s="2"/>
      <c r="F161" s="2"/>
      <c r="G161" s="2"/>
      <c r="H161" s="2"/>
      <c r="I161" s="2"/>
      <c r="J161" s="2"/>
      <c r="K161" s="2"/>
      <c r="L161" s="2"/>
    </row>
    <row r="162" spans="3:12" ht="15">
      <c r="C162" s="2"/>
      <c r="D162" s="2"/>
      <c r="E162" s="2"/>
      <c r="F162" s="2"/>
      <c r="G162" s="2"/>
      <c r="H162" s="2"/>
      <c r="I162" s="2"/>
      <c r="J162" s="2"/>
      <c r="K162" s="2"/>
      <c r="L162" s="2"/>
    </row>
    <row r="163" spans="3:12" ht="15">
      <c r="C163" s="2"/>
      <c r="D163" s="2"/>
      <c r="E163" s="2"/>
      <c r="F163" s="2"/>
      <c r="G163" s="2"/>
      <c r="H163" s="2"/>
      <c r="I163" s="2"/>
      <c r="J163" s="2"/>
      <c r="K163" s="2"/>
      <c r="L163" s="2"/>
    </row>
    <row r="164" spans="3:12" ht="15">
      <c r="C164" s="2"/>
      <c r="D164" s="2"/>
      <c r="E164" s="2"/>
      <c r="F164" s="2"/>
      <c r="G164" s="2"/>
      <c r="H164" s="2"/>
      <c r="I164" s="2"/>
      <c r="J164" s="2"/>
      <c r="K164" s="2"/>
      <c r="L164" s="2"/>
    </row>
    <row r="165" spans="3:12" ht="15">
      <c r="C165" s="2"/>
      <c r="D165" s="2"/>
      <c r="E165" s="2"/>
      <c r="F165" s="2"/>
      <c r="G165" s="2"/>
      <c r="H165" s="2"/>
      <c r="I165" s="2"/>
      <c r="J165" s="2"/>
      <c r="K165" s="2"/>
      <c r="L165" s="2"/>
    </row>
    <row r="166" spans="3:12" ht="15">
      <c r="C166" s="2"/>
      <c r="D166" s="2"/>
      <c r="E166" s="2"/>
      <c r="F166" s="2"/>
      <c r="G166" s="2"/>
      <c r="H166" s="2"/>
      <c r="I166" s="2"/>
      <c r="J166" s="2"/>
      <c r="K166" s="2"/>
      <c r="L166" s="2"/>
    </row>
  </sheetData>
  <hyperlinks>
    <hyperlink ref="P26" r:id="rId1" display="nabo@voicenet.com"/>
    <hyperlink ref="L11" r:id="rId2" display="nabo@voicenet.com"/>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sheetPr>
    <tabColor indexed="10"/>
  </sheetPr>
  <dimension ref="A1:O79"/>
  <sheetViews>
    <sheetView workbookViewId="0" topLeftCell="A55">
      <selection activeCell="B57" sqref="B57"/>
    </sheetView>
  </sheetViews>
  <sheetFormatPr defaultColWidth="8.88671875" defaultRowHeight="15"/>
  <cols>
    <col min="3" max="3" width="27.99609375" style="0" customWidth="1"/>
    <col min="11" max="16" width="8.88671875" style="57" customWidth="1"/>
  </cols>
  <sheetData>
    <row r="1" spans="1:3" ht="15">
      <c r="A1" s="73" t="s">
        <v>439</v>
      </c>
      <c r="B1" s="55"/>
      <c r="C1" s="55"/>
    </row>
    <row r="2" ht="15.75">
      <c r="C2" s="71" t="s">
        <v>6</v>
      </c>
    </row>
    <row r="3" ht="15">
      <c r="A3" t="s">
        <v>461</v>
      </c>
    </row>
    <row r="4" ht="15">
      <c r="A4" t="s">
        <v>438</v>
      </c>
    </row>
    <row r="5" ht="15">
      <c r="A5" t="s">
        <v>440</v>
      </c>
    </row>
    <row r="6" ht="15">
      <c r="A6" t="s">
        <v>441</v>
      </c>
    </row>
    <row r="7" ht="15">
      <c r="A7" t="s">
        <v>455</v>
      </c>
    </row>
    <row r="8" ht="15">
      <c r="A8" t="s">
        <v>456</v>
      </c>
    </row>
    <row r="9" ht="15">
      <c r="A9" t="s">
        <v>459</v>
      </c>
    </row>
    <row r="10" ht="15">
      <c r="A10" t="s">
        <v>460</v>
      </c>
    </row>
    <row r="12" spans="1:8" ht="15">
      <c r="A12" s="72" t="s">
        <v>464</v>
      </c>
      <c r="B12" s="72"/>
      <c r="C12" s="72"/>
      <c r="D12" s="72"/>
      <c r="E12" s="72"/>
      <c r="F12" s="72"/>
      <c r="G12" s="72"/>
      <c r="H12" s="72"/>
    </row>
    <row r="13" spans="1:8" ht="15">
      <c r="A13" s="72" t="s">
        <v>462</v>
      </c>
      <c r="B13" s="72"/>
      <c r="C13" s="72"/>
      <c r="D13" s="72" t="s">
        <v>463</v>
      </c>
      <c r="E13" s="72"/>
      <c r="F13" s="72"/>
      <c r="G13" s="72"/>
      <c r="H13" s="72"/>
    </row>
    <row r="14" spans="1:8" ht="15">
      <c r="A14" s="72"/>
      <c r="B14" s="72"/>
      <c r="C14" s="72"/>
      <c r="D14" s="72"/>
      <c r="E14" s="72"/>
      <c r="F14" s="72"/>
      <c r="G14" s="72"/>
      <c r="H14" s="72"/>
    </row>
    <row r="15" spans="1:15" ht="15">
      <c r="A15" t="s">
        <v>182</v>
      </c>
      <c r="E15" s="57"/>
      <c r="F15" s="57"/>
      <c r="G15" s="72"/>
      <c r="H15" s="72"/>
      <c r="O15" s="77"/>
    </row>
    <row r="16" spans="1:15" ht="15">
      <c r="A16" s="74" t="s">
        <v>183</v>
      </c>
      <c r="B16" s="74"/>
      <c r="C16" s="74"/>
      <c r="D16" s="74"/>
      <c r="E16" s="57"/>
      <c r="F16" s="57"/>
      <c r="G16" s="72"/>
      <c r="H16" s="72"/>
      <c r="O16" s="77"/>
    </row>
    <row r="17" spans="1:15" ht="15">
      <c r="A17" s="74">
        <v>2006</v>
      </c>
      <c r="B17" s="75" t="s">
        <v>184</v>
      </c>
      <c r="C17" s="74"/>
      <c r="D17" s="74"/>
      <c r="E17" s="57"/>
      <c r="F17" s="57"/>
      <c r="G17" s="72"/>
      <c r="H17" s="72"/>
      <c r="O17" s="77"/>
    </row>
    <row r="18" spans="1:15" ht="15">
      <c r="A18" s="74"/>
      <c r="B18" s="74" t="s">
        <v>478</v>
      </c>
      <c r="C18" s="74"/>
      <c r="D18" s="74"/>
      <c r="E18" s="57"/>
      <c r="F18" s="57"/>
      <c r="G18" s="72"/>
      <c r="H18" s="72"/>
      <c r="O18" s="77"/>
    </row>
    <row r="19" spans="1:15" ht="15">
      <c r="A19" s="74"/>
      <c r="B19" s="76" t="s">
        <v>173</v>
      </c>
      <c r="C19" s="74"/>
      <c r="D19" s="74"/>
      <c r="E19" s="57"/>
      <c r="F19" s="57"/>
      <c r="G19" s="72"/>
      <c r="H19" s="72"/>
      <c r="O19" s="77"/>
    </row>
    <row r="20" spans="1:15" ht="15">
      <c r="A20" s="57"/>
      <c r="B20" s="57"/>
      <c r="C20" s="57"/>
      <c r="D20" s="57"/>
      <c r="E20" s="77"/>
      <c r="F20" s="57"/>
      <c r="G20" s="72"/>
      <c r="H20" s="72"/>
      <c r="O20" s="77"/>
    </row>
    <row r="21" ht="15">
      <c r="O21" s="77"/>
    </row>
    <row r="22" spans="2:15" ht="15.75">
      <c r="B22" s="71" t="s">
        <v>449</v>
      </c>
      <c r="O22" s="77"/>
    </row>
    <row r="23" spans="1:15" ht="15">
      <c r="A23" t="s">
        <v>450</v>
      </c>
      <c r="O23" s="77"/>
    </row>
    <row r="24" spans="1:15" ht="15">
      <c r="A24" t="s">
        <v>451</v>
      </c>
      <c r="O24" s="77"/>
    </row>
    <row r="25" ht="15">
      <c r="A25" t="s">
        <v>452</v>
      </c>
    </row>
    <row r="26" ht="15">
      <c r="A26" t="s">
        <v>453</v>
      </c>
    </row>
    <row r="27" ht="15">
      <c r="A27" t="s">
        <v>454</v>
      </c>
    </row>
    <row r="29" spans="1:4" ht="15">
      <c r="A29" t="s">
        <v>10</v>
      </c>
      <c r="D29" t="s">
        <v>11</v>
      </c>
    </row>
    <row r="30" spans="1:4" ht="15">
      <c r="A30" t="s">
        <v>13</v>
      </c>
      <c r="D30" t="s">
        <v>14</v>
      </c>
    </row>
    <row r="31" ht="15">
      <c r="A31" t="s">
        <v>16</v>
      </c>
    </row>
    <row r="32" ht="15">
      <c r="A32" t="s">
        <v>19</v>
      </c>
    </row>
    <row r="33" spans="1:4" ht="15">
      <c r="A33" t="s">
        <v>22</v>
      </c>
      <c r="D33" t="s">
        <v>23</v>
      </c>
    </row>
    <row r="34" spans="1:4" ht="15">
      <c r="A34" t="s">
        <v>25</v>
      </c>
      <c r="D34" t="s">
        <v>416</v>
      </c>
    </row>
    <row r="35" ht="15">
      <c r="D35" t="s">
        <v>27</v>
      </c>
    </row>
    <row r="36" ht="15">
      <c r="D36" t="s">
        <v>29</v>
      </c>
    </row>
    <row r="38" ht="15">
      <c r="A38" s="72" t="s">
        <v>417</v>
      </c>
    </row>
    <row r="39" ht="15">
      <c r="A39" t="s">
        <v>418</v>
      </c>
    </row>
    <row r="40" ht="15">
      <c r="B40" t="s">
        <v>419</v>
      </c>
    </row>
    <row r="41" ht="15">
      <c r="B41" t="s">
        <v>420</v>
      </c>
    </row>
    <row r="42" ht="15">
      <c r="B42" t="s">
        <v>421</v>
      </c>
    </row>
    <row r="43" ht="15">
      <c r="B43" t="s">
        <v>447</v>
      </c>
    </row>
    <row r="44" ht="15">
      <c r="B44" t="s">
        <v>448</v>
      </c>
    </row>
    <row r="46" ht="15.75">
      <c r="A46" s="71" t="s">
        <v>477</v>
      </c>
    </row>
    <row r="47" ht="15">
      <c r="B47" t="s">
        <v>474</v>
      </c>
    </row>
    <row r="48" ht="15">
      <c r="B48" t="s">
        <v>475</v>
      </c>
    </row>
    <row r="49" ht="15">
      <c r="B49" t="s">
        <v>476</v>
      </c>
    </row>
    <row r="50" ht="15">
      <c r="B50" t="s">
        <v>479</v>
      </c>
    </row>
    <row r="51" ht="15">
      <c r="B51" t="s">
        <v>480</v>
      </c>
    </row>
    <row r="52" ht="15">
      <c r="B52" t="s">
        <v>481</v>
      </c>
    </row>
    <row r="53" ht="15">
      <c r="B53" t="s">
        <v>482</v>
      </c>
    </row>
    <row r="54" ht="15">
      <c r="B54" t="s">
        <v>483</v>
      </c>
    </row>
    <row r="55" ht="15">
      <c r="B55" t="s">
        <v>484</v>
      </c>
    </row>
    <row r="56" ht="15">
      <c r="B56" t="s">
        <v>486</v>
      </c>
    </row>
    <row r="57" ht="15">
      <c r="B57" t="s">
        <v>487</v>
      </c>
    </row>
    <row r="59" ht="15.75">
      <c r="A59" s="71" t="s">
        <v>442</v>
      </c>
    </row>
    <row r="60" ht="15">
      <c r="A60" t="s">
        <v>443</v>
      </c>
    </row>
    <row r="61" ht="15">
      <c r="A61" t="s">
        <v>444</v>
      </c>
    </row>
    <row r="62" ht="15">
      <c r="A62" t="s">
        <v>445</v>
      </c>
    </row>
    <row r="63" ht="15">
      <c r="A63" t="s">
        <v>446</v>
      </c>
    </row>
    <row r="64" ht="15">
      <c r="A64" t="s">
        <v>465</v>
      </c>
    </row>
    <row r="65" ht="15">
      <c r="A65" t="s">
        <v>466</v>
      </c>
    </row>
    <row r="66" ht="15.75">
      <c r="A66" s="71" t="s">
        <v>468</v>
      </c>
    </row>
    <row r="67" ht="15">
      <c r="A67" t="s">
        <v>469</v>
      </c>
    </row>
    <row r="68" ht="15">
      <c r="A68" t="s">
        <v>467</v>
      </c>
    </row>
    <row r="69" ht="15">
      <c r="A69" t="s">
        <v>488</v>
      </c>
    </row>
    <row r="70" ht="15.75">
      <c r="A70" s="71" t="s">
        <v>457</v>
      </c>
    </row>
    <row r="71" ht="15">
      <c r="A71" t="s">
        <v>491</v>
      </c>
    </row>
    <row r="72" ht="15">
      <c r="A72" t="s">
        <v>473</v>
      </c>
    </row>
    <row r="73" ht="15">
      <c r="A73" t="s">
        <v>472</v>
      </c>
    </row>
    <row r="74" ht="15">
      <c r="A74" t="s">
        <v>470</v>
      </c>
    </row>
    <row r="75" ht="15">
      <c r="A75" t="s">
        <v>458</v>
      </c>
    </row>
    <row r="76" ht="15">
      <c r="A76" t="s">
        <v>471</v>
      </c>
    </row>
    <row r="77" ht="15">
      <c r="A77" t="s">
        <v>485</v>
      </c>
    </row>
    <row r="78" ht="15">
      <c r="A78" t="s">
        <v>489</v>
      </c>
    </row>
    <row r="79" ht="15">
      <c r="A79" t="s">
        <v>490</v>
      </c>
    </row>
  </sheetData>
  <hyperlinks>
    <hyperlink ref="B19" r:id="rId1" display="nabo@voicenet.com"/>
  </hyperlinks>
  <printOptions/>
  <pageMargins left="0.75" right="0.75" top="1" bottom="1" header="0.5" footer="0.5"/>
  <pageSetup horizontalDpi="600" verticalDpi="600" orientation="portrait" r:id="rId2"/>
</worksheet>
</file>

<file path=xl/worksheets/sheet7.xml><?xml version="1.0" encoding="utf-8"?>
<worksheet xmlns="http://schemas.openxmlformats.org/spreadsheetml/2006/main" xmlns:r="http://schemas.openxmlformats.org/officeDocument/2006/relationships">
  <dimension ref="A1:V150"/>
  <sheetViews>
    <sheetView showGridLines="0" zoomScale="75" zoomScaleNormal="75" workbookViewId="0" topLeftCell="A1">
      <selection activeCell="L33" sqref="L33"/>
    </sheetView>
  </sheetViews>
  <sheetFormatPr defaultColWidth="8.88671875" defaultRowHeight="15"/>
  <cols>
    <col min="1" max="1" width="39.10546875" style="0" customWidth="1"/>
    <col min="2" max="2" width="6.4453125" style="0" customWidth="1"/>
    <col min="4" max="13" width="7.99609375" style="0" customWidth="1"/>
    <col min="14" max="14" width="3.10546875" style="0" customWidth="1"/>
    <col min="15" max="16384" width="7.99609375" style="0" customWidth="1"/>
  </cols>
  <sheetData>
    <row r="1" ht="15">
      <c r="A1" t="s">
        <v>0</v>
      </c>
    </row>
    <row r="2" spans="1:10" ht="18">
      <c r="A2" t="s">
        <v>1</v>
      </c>
      <c r="J2" s="14" t="s">
        <v>2</v>
      </c>
    </row>
    <row r="3" spans="1:10" ht="15">
      <c r="A3" t="s">
        <v>3</v>
      </c>
      <c r="J3" t="s">
        <v>4</v>
      </c>
    </row>
    <row r="4" ht="15">
      <c r="J4" t="s">
        <v>5</v>
      </c>
    </row>
    <row r="5" spans="1:10" ht="15">
      <c r="A5" t="s">
        <v>6</v>
      </c>
      <c r="J5" t="s">
        <v>7</v>
      </c>
    </row>
    <row r="6" spans="4:12" ht="15">
      <c r="D6" t="s">
        <v>8</v>
      </c>
      <c r="L6" t="s">
        <v>9</v>
      </c>
    </row>
    <row r="7" spans="1:12" ht="15">
      <c r="A7" t="s">
        <v>10</v>
      </c>
      <c r="D7" t="s">
        <v>11</v>
      </c>
      <c r="L7" t="s">
        <v>12</v>
      </c>
    </row>
    <row r="8" spans="1:11" ht="15">
      <c r="A8" t="s">
        <v>13</v>
      </c>
      <c r="D8" t="s">
        <v>14</v>
      </c>
      <c r="K8" t="s">
        <v>15</v>
      </c>
    </row>
    <row r="9" spans="1:12" ht="15">
      <c r="A9" t="s">
        <v>16</v>
      </c>
      <c r="D9" t="s">
        <v>17</v>
      </c>
      <c r="L9" t="s">
        <v>18</v>
      </c>
    </row>
    <row r="10" spans="1:12" ht="15">
      <c r="A10" t="s">
        <v>19</v>
      </c>
      <c r="D10" t="s">
        <v>20</v>
      </c>
      <c r="L10" t="s">
        <v>21</v>
      </c>
    </row>
    <row r="11" spans="1:12" ht="15">
      <c r="A11" t="s">
        <v>22</v>
      </c>
      <c r="D11" t="s">
        <v>23</v>
      </c>
      <c r="L11" t="s">
        <v>24</v>
      </c>
    </row>
    <row r="12" spans="1:12" ht="15">
      <c r="A12" t="s">
        <v>25</v>
      </c>
      <c r="D12" t="s">
        <v>26</v>
      </c>
      <c r="L12" s="15" t="s">
        <v>173</v>
      </c>
    </row>
    <row r="13" spans="4:12" ht="15">
      <c r="D13" t="s">
        <v>27</v>
      </c>
      <c r="L13" t="s">
        <v>28</v>
      </c>
    </row>
    <row r="14" spans="4:14" ht="15">
      <c r="D14" t="s">
        <v>29</v>
      </c>
      <c r="N14" t="s">
        <v>30</v>
      </c>
    </row>
    <row r="15" ht="15">
      <c r="N15" t="s">
        <v>30</v>
      </c>
    </row>
    <row r="16" spans="1:14" ht="23.25">
      <c r="A16" s="3" t="s">
        <v>31</v>
      </c>
      <c r="N16" t="s">
        <v>30</v>
      </c>
    </row>
    <row r="17" spans="1:14" ht="15">
      <c r="A17" s="4" t="s">
        <v>32</v>
      </c>
      <c r="D17" t="s">
        <v>33</v>
      </c>
      <c r="N17" t="s">
        <v>30</v>
      </c>
    </row>
    <row r="18" ht="15">
      <c r="N18" t="s">
        <v>30</v>
      </c>
    </row>
    <row r="19" spans="1:14" ht="18">
      <c r="A19" s="5" t="s">
        <v>34</v>
      </c>
      <c r="N19" t="s">
        <v>30</v>
      </c>
    </row>
    <row r="20" spans="1:14" ht="20.25">
      <c r="A20" t="s">
        <v>35</v>
      </c>
      <c r="E20" s="10" t="s">
        <v>36</v>
      </c>
      <c r="F20" s="12"/>
      <c r="G20" s="10" t="s">
        <v>37</v>
      </c>
      <c r="H20" s="12"/>
      <c r="I20" s="10" t="s">
        <v>38</v>
      </c>
      <c r="J20" s="12"/>
      <c r="K20" s="10" t="s">
        <v>39</v>
      </c>
      <c r="L20" s="12"/>
      <c r="N20" t="s">
        <v>30</v>
      </c>
    </row>
    <row r="21" spans="1:14" ht="15">
      <c r="A21" t="s">
        <v>40</v>
      </c>
      <c r="E21" s="7">
        <v>1</v>
      </c>
      <c r="G21" s="7">
        <v>2</v>
      </c>
      <c r="I21" s="7">
        <v>3</v>
      </c>
      <c r="K21" s="7" t="s">
        <v>41</v>
      </c>
      <c r="L21" s="7"/>
      <c r="N21" t="s">
        <v>30</v>
      </c>
    </row>
    <row r="22" spans="1:14" ht="15">
      <c r="A22" t="s">
        <v>42</v>
      </c>
      <c r="E22" s="7" t="s">
        <v>43</v>
      </c>
      <c r="G22" s="7" t="s">
        <v>44</v>
      </c>
      <c r="I22" s="7" t="s">
        <v>45</v>
      </c>
      <c r="K22" s="7" t="s">
        <v>46</v>
      </c>
      <c r="L22" s="7"/>
      <c r="N22" t="s">
        <v>30</v>
      </c>
    </row>
    <row r="23" spans="12:14" ht="15">
      <c r="L23" s="7"/>
      <c r="N23" t="s">
        <v>30</v>
      </c>
    </row>
    <row r="25" spans="1:14" ht="15">
      <c r="A25" t="s">
        <v>47</v>
      </c>
      <c r="N25" t="s">
        <v>30</v>
      </c>
    </row>
    <row r="26" spans="1:14" ht="15">
      <c r="A26" t="s">
        <v>48</v>
      </c>
      <c r="E26" s="7">
        <v>389</v>
      </c>
      <c r="G26" s="13">
        <f>(84+50+77)/3</f>
        <v>70.33333333333333</v>
      </c>
      <c r="I26" s="13">
        <f>(25+15+20+11+12)/5</f>
        <v>16.6</v>
      </c>
      <c r="K26" s="13">
        <f>(14+6+20+16+18+14)/6</f>
        <v>14.666666666666666</v>
      </c>
      <c r="N26" t="s">
        <v>30</v>
      </c>
    </row>
    <row r="27" spans="1:14" ht="15">
      <c r="A27" t="s">
        <v>49</v>
      </c>
      <c r="E27" s="1">
        <f>E26/E33</f>
        <v>3.2148760330578514</v>
      </c>
      <c r="G27" s="1">
        <f>G26/G33</f>
        <v>2.268817204301075</v>
      </c>
      <c r="I27" s="1">
        <f>I26/I33</f>
        <v>2.075</v>
      </c>
      <c r="K27" s="1">
        <f>K26/K33</f>
        <v>2.933333333333333</v>
      </c>
      <c r="N27" t="s">
        <v>30</v>
      </c>
    </row>
    <row r="28" spans="1:14" ht="15">
      <c r="A28" t="s">
        <v>50</v>
      </c>
      <c r="E28" s="7" t="s">
        <v>51</v>
      </c>
      <c r="G28" s="7" t="s">
        <v>52</v>
      </c>
      <c r="I28" s="7" t="s">
        <v>53</v>
      </c>
      <c r="K28" s="7" t="s">
        <v>54</v>
      </c>
      <c r="N28" t="s">
        <v>30</v>
      </c>
    </row>
    <row r="29" spans="1:14" ht="15">
      <c r="A29" t="s">
        <v>55</v>
      </c>
      <c r="E29" s="1">
        <f>E34/E33</f>
        <v>0.4132231404958678</v>
      </c>
      <c r="G29" s="1">
        <f>G34/G33</f>
        <v>1.4516129032258065</v>
      </c>
      <c r="I29" s="1">
        <f>I34/I33</f>
        <v>3.625</v>
      </c>
      <c r="K29" s="1">
        <f>K34/K33</f>
        <v>3</v>
      </c>
      <c r="N29" t="s">
        <v>30</v>
      </c>
    </row>
    <row r="30" ht="15">
      <c r="N30" t="s">
        <v>30</v>
      </c>
    </row>
    <row r="32" spans="1:14" ht="18">
      <c r="A32" s="5" t="s">
        <v>56</v>
      </c>
      <c r="N32" t="s">
        <v>30</v>
      </c>
    </row>
    <row r="33" spans="4:22" ht="15">
      <c r="D33" s="7" t="s">
        <v>57</v>
      </c>
      <c r="E33">
        <v>121</v>
      </c>
      <c r="G33">
        <v>31</v>
      </c>
      <c r="I33">
        <v>8</v>
      </c>
      <c r="K33">
        <v>5</v>
      </c>
      <c r="N33" t="s">
        <v>30</v>
      </c>
      <c r="P33">
        <v>103</v>
      </c>
      <c r="R33">
        <v>24</v>
      </c>
      <c r="T33">
        <v>6</v>
      </c>
      <c r="V33">
        <v>3</v>
      </c>
    </row>
    <row r="34" spans="4:22" ht="15">
      <c r="D34" s="7" t="s">
        <v>58</v>
      </c>
      <c r="E34">
        <v>50</v>
      </c>
      <c r="G34">
        <v>45</v>
      </c>
      <c r="I34">
        <v>29</v>
      </c>
      <c r="K34">
        <v>15</v>
      </c>
      <c r="N34" t="s">
        <v>30</v>
      </c>
      <c r="P34">
        <v>60</v>
      </c>
      <c r="R34">
        <v>24</v>
      </c>
      <c r="T34">
        <v>23</v>
      </c>
      <c r="V34">
        <v>19</v>
      </c>
    </row>
    <row r="35" spans="1:14" ht="18">
      <c r="A35" t="s">
        <v>59</v>
      </c>
      <c r="C35" s="5" t="s">
        <v>60</v>
      </c>
      <c r="N35" t="s">
        <v>30</v>
      </c>
    </row>
    <row r="36" spans="1:14" ht="18">
      <c r="A36" t="s">
        <v>61</v>
      </c>
      <c r="C36" s="5" t="s">
        <v>62</v>
      </c>
      <c r="E36" t="s">
        <v>63</v>
      </c>
      <c r="N36" t="s">
        <v>30</v>
      </c>
    </row>
    <row r="37" spans="1:14" ht="18">
      <c r="A37" t="s">
        <v>64</v>
      </c>
      <c r="C37" s="5">
        <v>4400</v>
      </c>
      <c r="E37">
        <f>E33*$C$37</f>
        <v>532400</v>
      </c>
      <c r="G37">
        <f>G33*$C$37</f>
        <v>136400</v>
      </c>
      <c r="I37">
        <f>I33*$C$37</f>
        <v>35200</v>
      </c>
      <c r="K37">
        <f>K33*$C$37</f>
        <v>22000</v>
      </c>
      <c r="N37" t="s">
        <v>30</v>
      </c>
    </row>
    <row r="38" spans="1:14" ht="18">
      <c r="A38" t="s">
        <v>65</v>
      </c>
      <c r="C38" s="5">
        <v>700</v>
      </c>
      <c r="E38">
        <f>E34*$C$38</f>
        <v>35000</v>
      </c>
      <c r="G38">
        <f>G34*$C$38</f>
        <v>31500</v>
      </c>
      <c r="I38">
        <f>I34*$C$38</f>
        <v>20300</v>
      </c>
      <c r="K38">
        <f>K34*$C$38</f>
        <v>10500</v>
      </c>
      <c r="N38" t="s">
        <v>30</v>
      </c>
    </row>
    <row r="39" spans="5:14" ht="15">
      <c r="E39" t="s">
        <v>66</v>
      </c>
      <c r="G39" t="s">
        <v>66</v>
      </c>
      <c r="I39" t="s">
        <v>66</v>
      </c>
      <c r="K39" t="s">
        <v>66</v>
      </c>
      <c r="N39" t="s">
        <v>30</v>
      </c>
    </row>
    <row r="40" spans="4:14" ht="15">
      <c r="D40" t="s">
        <v>67</v>
      </c>
      <c r="E40">
        <f>SUM(E37:E38)</f>
        <v>567400</v>
      </c>
      <c r="G40">
        <f>SUM(G37:G38)</f>
        <v>167900</v>
      </c>
      <c r="I40">
        <f>SUM(I37:I38)</f>
        <v>55500</v>
      </c>
      <c r="K40">
        <f>SUM(K37:K38)</f>
        <v>32500</v>
      </c>
      <c r="N40" t="s">
        <v>30</v>
      </c>
    </row>
    <row r="41" ht="15">
      <c r="N41" t="s">
        <v>30</v>
      </c>
    </row>
    <row r="42" spans="1:14" ht="18">
      <c r="A42" s="5" t="s">
        <v>68</v>
      </c>
      <c r="C42" s="5" t="s">
        <v>69</v>
      </c>
      <c r="D42" s="5"/>
      <c r="E42" s="5"/>
      <c r="F42" s="5"/>
      <c r="G42" s="5"/>
      <c r="H42" s="5"/>
      <c r="I42" s="5"/>
      <c r="J42" s="5"/>
      <c r="N42" t="s">
        <v>30</v>
      </c>
    </row>
    <row r="43" spans="1:14" ht="18">
      <c r="A43" s="6">
        <v>1</v>
      </c>
      <c r="C43" s="5" t="s">
        <v>70</v>
      </c>
      <c r="D43" s="5"/>
      <c r="E43" s="5"/>
      <c r="F43" s="5"/>
      <c r="G43" s="5"/>
      <c r="H43" s="5"/>
      <c r="I43" s="5"/>
      <c r="J43" s="5"/>
      <c r="N43" t="s">
        <v>30</v>
      </c>
    </row>
    <row r="44" spans="1:14" ht="18">
      <c r="A44" s="6">
        <v>1</v>
      </c>
      <c r="C44" s="5" t="s">
        <v>71</v>
      </c>
      <c r="D44" s="5"/>
      <c r="E44" s="5"/>
      <c r="F44" s="5"/>
      <c r="G44" s="5"/>
      <c r="H44" s="5"/>
      <c r="I44" s="5"/>
      <c r="J44" s="5"/>
      <c r="N44" t="s">
        <v>30</v>
      </c>
    </row>
    <row r="45" ht="15">
      <c r="N45" t="s">
        <v>30</v>
      </c>
    </row>
    <row r="46" spans="1:14" ht="18">
      <c r="A46" s="5" t="s">
        <v>72</v>
      </c>
      <c r="E46" s="1"/>
      <c r="N46" t="s">
        <v>30</v>
      </c>
    </row>
    <row r="47" spans="1:14" ht="15">
      <c r="A47" t="s">
        <v>73</v>
      </c>
      <c r="E47" t="s">
        <v>74</v>
      </c>
      <c r="G47" t="s">
        <v>75</v>
      </c>
      <c r="I47" s="2">
        <v>154.5</v>
      </c>
      <c r="K47" s="2">
        <f>(138+133+131+131+128+125+125+123+120+113+113)/11</f>
        <v>125.45454545454545</v>
      </c>
      <c r="N47" t="s">
        <v>30</v>
      </c>
    </row>
    <row r="48" spans="1:14" ht="15">
      <c r="A48" t="s">
        <v>76</v>
      </c>
      <c r="E48">
        <f>800*A43</f>
        <v>800</v>
      </c>
      <c r="G48">
        <f>400*A43</f>
        <v>400</v>
      </c>
      <c r="I48">
        <v>155</v>
      </c>
      <c r="K48">
        <f>125*A43</f>
        <v>125</v>
      </c>
      <c r="N48" t="s">
        <v>30</v>
      </c>
    </row>
    <row r="49" ht="15">
      <c r="N49" t="s">
        <v>30</v>
      </c>
    </row>
    <row r="50" spans="1:14" ht="18">
      <c r="A50" s="5" t="s">
        <v>77</v>
      </c>
      <c r="N50" t="s">
        <v>30</v>
      </c>
    </row>
    <row r="51" spans="3:14" ht="15">
      <c r="C51" t="s">
        <v>78</v>
      </c>
      <c r="D51" s="1" t="s">
        <v>79</v>
      </c>
      <c r="E51" t="s">
        <v>80</v>
      </c>
      <c r="N51" t="s">
        <v>30</v>
      </c>
    </row>
    <row r="52" spans="3:14" ht="15">
      <c r="C52" t="s">
        <v>81</v>
      </c>
      <c r="D52" s="8" t="s">
        <v>82</v>
      </c>
      <c r="E52" s="8" t="s">
        <v>83</v>
      </c>
      <c r="F52" s="8" t="s">
        <v>82</v>
      </c>
      <c r="G52" s="8" t="s">
        <v>83</v>
      </c>
      <c r="H52" s="8" t="s">
        <v>82</v>
      </c>
      <c r="I52" s="8" t="s">
        <v>83</v>
      </c>
      <c r="J52" s="8" t="s">
        <v>82</v>
      </c>
      <c r="K52" s="8" t="s">
        <v>83</v>
      </c>
      <c r="L52" s="8"/>
      <c r="N52" t="s">
        <v>30</v>
      </c>
    </row>
    <row r="53" spans="1:14" ht="15">
      <c r="A53" t="s">
        <v>84</v>
      </c>
      <c r="N53" t="s">
        <v>30</v>
      </c>
    </row>
    <row r="54" spans="1:14" ht="15">
      <c r="A54" t="s">
        <v>85</v>
      </c>
      <c r="C54">
        <f>1200*A44</f>
        <v>1200</v>
      </c>
      <c r="D54">
        <v>40</v>
      </c>
      <c r="E54">
        <f>$E$48*(D54/100)*C54</f>
        <v>384000</v>
      </c>
      <c r="F54">
        <v>10</v>
      </c>
      <c r="G54">
        <f>$G$48*(F54/100)*C54</f>
        <v>48000</v>
      </c>
      <c r="H54">
        <v>5</v>
      </c>
      <c r="I54">
        <f>$I$48*(H54/100)*C54</f>
        <v>9300</v>
      </c>
      <c r="J54">
        <v>0</v>
      </c>
      <c r="K54" s="2">
        <f>$K$48*(J54/100)*C54</f>
        <v>0</v>
      </c>
      <c r="N54" t="s">
        <v>30</v>
      </c>
    </row>
    <row r="55" spans="1:14" ht="15">
      <c r="A55" t="s">
        <v>86</v>
      </c>
      <c r="C55">
        <v>400</v>
      </c>
      <c r="D55">
        <v>50</v>
      </c>
      <c r="E55">
        <f>$E$48*(D55/100)*C55</f>
        <v>160000</v>
      </c>
      <c r="F55">
        <v>35</v>
      </c>
      <c r="G55">
        <f>$G$48*(F55/100)*C55</f>
        <v>56000</v>
      </c>
      <c r="H55">
        <v>30</v>
      </c>
      <c r="I55">
        <f>$I$48*(H55/100)*C55</f>
        <v>18600</v>
      </c>
      <c r="J55">
        <v>5</v>
      </c>
      <c r="K55" s="2">
        <f>$K$48*(J55/100)*C55</f>
        <v>2500</v>
      </c>
      <c r="N55" t="s">
        <v>30</v>
      </c>
    </row>
    <row r="56" spans="1:14" ht="15">
      <c r="A56" t="s">
        <v>87</v>
      </c>
      <c r="C56">
        <f>300*A44</f>
        <v>300</v>
      </c>
      <c r="D56">
        <v>10</v>
      </c>
      <c r="E56">
        <f>$E$48*(D56/100)*C56</f>
        <v>24000</v>
      </c>
      <c r="F56">
        <v>50</v>
      </c>
      <c r="G56">
        <f>$G$48*(F56/100)*C56</f>
        <v>60000</v>
      </c>
      <c r="H56">
        <v>50</v>
      </c>
      <c r="I56">
        <f>$I$48*(H56/100)*C56</f>
        <v>23250</v>
      </c>
      <c r="J56">
        <v>50</v>
      </c>
      <c r="K56" s="2">
        <f>$K$48*(J56/100)*C56</f>
        <v>18750</v>
      </c>
      <c r="N56" t="s">
        <v>30</v>
      </c>
    </row>
    <row r="57" spans="1:14" ht="15">
      <c r="A57" t="s">
        <v>88</v>
      </c>
      <c r="C57">
        <f>200*A44</f>
        <v>200</v>
      </c>
      <c r="D57">
        <v>0</v>
      </c>
      <c r="E57">
        <f>$E$48*(D57/100)*C57</f>
        <v>0</v>
      </c>
      <c r="F57">
        <v>5</v>
      </c>
      <c r="G57">
        <f>$G$48*(F57/100)*C57</f>
        <v>4000</v>
      </c>
      <c r="H57">
        <v>15</v>
      </c>
      <c r="I57">
        <f>$I$48*(H57/100)*C57</f>
        <v>4650</v>
      </c>
      <c r="J57">
        <v>45</v>
      </c>
      <c r="K57" s="2">
        <f>$K$48*(J57/100)*C57</f>
        <v>11250</v>
      </c>
      <c r="N57" t="s">
        <v>30</v>
      </c>
    </row>
    <row r="58" spans="4:14" ht="15">
      <c r="D58">
        <f>SUM(D54:D57)</f>
        <v>100</v>
      </c>
      <c r="F58">
        <f>SUM(F54:F57)</f>
        <v>100</v>
      </c>
      <c r="H58">
        <f>SUM(H54:H57)</f>
        <v>100</v>
      </c>
      <c r="J58">
        <f>SUM(J54:J57)</f>
        <v>100</v>
      </c>
      <c r="N58" t="s">
        <v>30</v>
      </c>
    </row>
    <row r="59" spans="1:14" ht="18">
      <c r="A59" s="5" t="s">
        <v>89</v>
      </c>
      <c r="E59" t="s">
        <v>66</v>
      </c>
      <c r="G59" t="s">
        <v>66</v>
      </c>
      <c r="I59" t="s">
        <v>66</v>
      </c>
      <c r="K59" t="s">
        <v>66</v>
      </c>
      <c r="N59" t="s">
        <v>30</v>
      </c>
    </row>
    <row r="60" spans="2:14" ht="15">
      <c r="B60" s="7" t="s">
        <v>90</v>
      </c>
      <c r="E60">
        <f>SUM(E54:E57)</f>
        <v>568000</v>
      </c>
      <c r="G60">
        <f>SUM(G54:G57)</f>
        <v>168000</v>
      </c>
      <c r="I60">
        <f>SUM(I54:I57)</f>
        <v>55800</v>
      </c>
      <c r="K60" s="2">
        <f>SUM(K54:K57)</f>
        <v>32500</v>
      </c>
      <c r="N60" t="s">
        <v>30</v>
      </c>
    </row>
    <row r="61" spans="2:14" ht="15">
      <c r="B61" s="8" t="s">
        <v>91</v>
      </c>
      <c r="E61">
        <f>SUM(E40)</f>
        <v>567400</v>
      </c>
      <c r="G61">
        <f>SUM(G40)</f>
        <v>167900</v>
      </c>
      <c r="I61">
        <f>SUM(I40)</f>
        <v>55500</v>
      </c>
      <c r="K61" s="2">
        <f>SUM(K40)</f>
        <v>32500</v>
      </c>
      <c r="N61" t="s">
        <v>30</v>
      </c>
    </row>
    <row r="62" spans="5:14" ht="15">
      <c r="E62" t="s">
        <v>66</v>
      </c>
      <c r="G62" t="s">
        <v>66</v>
      </c>
      <c r="I62" t="s">
        <v>66</v>
      </c>
      <c r="K62" s="2" t="s">
        <v>66</v>
      </c>
      <c r="N62" t="s">
        <v>30</v>
      </c>
    </row>
    <row r="63" spans="1:14" ht="15">
      <c r="A63" t="s">
        <v>92</v>
      </c>
      <c r="E63">
        <f>E60-E40</f>
        <v>600</v>
      </c>
      <c r="G63">
        <f>G60-G40</f>
        <v>100</v>
      </c>
      <c r="I63">
        <f>I60-I40</f>
        <v>300</v>
      </c>
      <c r="K63" s="2">
        <f>K60-K40</f>
        <v>0</v>
      </c>
      <c r="N63" t="s">
        <v>30</v>
      </c>
    </row>
    <row r="64" spans="11:14" ht="15">
      <c r="K64" s="2"/>
      <c r="N64" t="s">
        <v>30</v>
      </c>
    </row>
    <row r="65" spans="3:14" ht="15">
      <c r="C65" s="8" t="s">
        <v>93</v>
      </c>
      <c r="E65" s="1">
        <f>100*(E63/E60)</f>
        <v>0.10563380281690139</v>
      </c>
      <c r="G65" s="1">
        <f>100*(G63/G60)</f>
        <v>0.05952380952380953</v>
      </c>
      <c r="H65" s="1"/>
      <c r="I65" s="1">
        <f>100*(I63/I60)</f>
        <v>0.5376344086021506</v>
      </c>
      <c r="J65" s="1"/>
      <c r="K65" s="1">
        <f>100*(K63/K60)</f>
        <v>0</v>
      </c>
      <c r="N65" t="s">
        <v>30</v>
      </c>
    </row>
    <row r="66" ht="15">
      <c r="N66" t="s">
        <v>30</v>
      </c>
    </row>
    <row r="67" spans="1:14" ht="18">
      <c r="A67" s="5" t="s">
        <v>94</v>
      </c>
      <c r="N67" t="s">
        <v>30</v>
      </c>
    </row>
    <row r="68" spans="1:14" ht="15">
      <c r="A68" t="s">
        <v>95</v>
      </c>
      <c r="E68" s="2">
        <v>131</v>
      </c>
      <c r="F68" s="2"/>
      <c r="G68" s="2">
        <v>72</v>
      </c>
      <c r="H68" s="2" t="s">
        <v>96</v>
      </c>
      <c r="I68" s="2">
        <f>(38+24+23+23+21)/5</f>
        <v>25.8</v>
      </c>
      <c r="J68" s="2"/>
      <c r="K68" s="2">
        <f>(11+14)/2</f>
        <v>12.5</v>
      </c>
      <c r="L68" s="2"/>
      <c r="M68" s="2"/>
      <c r="N68" t="s">
        <v>30</v>
      </c>
    </row>
    <row r="69" spans="1:14" ht="18">
      <c r="A69" t="s">
        <v>97</v>
      </c>
      <c r="B69" s="6">
        <v>1.5</v>
      </c>
      <c r="C69" t="s">
        <v>98</v>
      </c>
      <c r="E69" s="2"/>
      <c r="F69" s="2"/>
      <c r="G69" t="s">
        <v>99</v>
      </c>
      <c r="H69" s="2"/>
      <c r="I69" s="2"/>
      <c r="J69" s="2"/>
      <c r="K69" s="2"/>
      <c r="L69" s="2"/>
      <c r="M69" s="2"/>
      <c r="N69" t="s">
        <v>30</v>
      </c>
    </row>
    <row r="70" spans="1:14" ht="15">
      <c r="A70" t="s">
        <v>100</v>
      </c>
      <c r="E70" s="2">
        <f>(E68/$B$69)*0.75</f>
        <v>65.5</v>
      </c>
      <c r="F70" s="2"/>
      <c r="G70" s="2">
        <f>(G68/$B$69)*0.75</f>
        <v>36</v>
      </c>
      <c r="H70" s="2"/>
      <c r="I70" s="2">
        <f>I68/$B$69</f>
        <v>17.2</v>
      </c>
      <c r="J70" s="2"/>
      <c r="K70" s="2">
        <f>K68/$B$69</f>
        <v>8.333333333333334</v>
      </c>
      <c r="L70" s="2"/>
      <c r="M70" s="2"/>
      <c r="N70" t="s">
        <v>30</v>
      </c>
    </row>
    <row r="71" spans="13:14" ht="15">
      <c r="M71" s="2"/>
      <c r="N71" t="s">
        <v>30</v>
      </c>
    </row>
    <row r="72" spans="1:14" ht="18">
      <c r="A72" s="5" t="s">
        <v>101</v>
      </c>
      <c r="N72" t="s">
        <v>30</v>
      </c>
    </row>
    <row r="73" spans="1:14" ht="15">
      <c r="A73" t="s">
        <v>102</v>
      </c>
      <c r="E73" s="1">
        <f>SUM(E70)</f>
        <v>65.5</v>
      </c>
      <c r="F73" s="2"/>
      <c r="G73" s="1">
        <f>SUM(G70)</f>
        <v>36</v>
      </c>
      <c r="H73" s="1"/>
      <c r="I73" s="1">
        <f>SUM(I70)</f>
        <v>17.2</v>
      </c>
      <c r="J73" s="1"/>
      <c r="K73" s="1">
        <f>SUM(K70)</f>
        <v>8.333333333333334</v>
      </c>
      <c r="L73" s="1"/>
      <c r="M73" s="2"/>
      <c r="N73" t="s">
        <v>30</v>
      </c>
    </row>
    <row r="74" spans="5:14" ht="15">
      <c r="E74" s="2"/>
      <c r="F74" s="2"/>
      <c r="G74" s="2"/>
      <c r="H74" s="2"/>
      <c r="I74" s="2"/>
      <c r="J74" s="2"/>
      <c r="K74" s="2"/>
      <c r="L74" s="2"/>
      <c r="M74" s="2"/>
      <c r="N74" t="s">
        <v>30</v>
      </c>
    </row>
    <row r="75" spans="1:14" ht="15">
      <c r="A75" t="s">
        <v>103</v>
      </c>
      <c r="E75" s="2">
        <f>(E33*6)+E34</f>
        <v>776</v>
      </c>
      <c r="F75" s="2"/>
      <c r="G75" s="2">
        <f>(G33*6)+G34</f>
        <v>231</v>
      </c>
      <c r="H75" s="2"/>
      <c r="I75" s="2">
        <f>(I33*6)+I34</f>
        <v>77</v>
      </c>
      <c r="J75" s="2"/>
      <c r="K75" s="2">
        <f>(K33*6)+K34</f>
        <v>45</v>
      </c>
      <c r="L75" s="2"/>
      <c r="M75" s="2"/>
      <c r="N75" t="s">
        <v>30</v>
      </c>
    </row>
    <row r="76" spans="1:14" ht="15">
      <c r="A76" t="s">
        <v>104</v>
      </c>
      <c r="E76" s="2">
        <f>E73*9</f>
        <v>589.5</v>
      </c>
      <c r="F76" s="2"/>
      <c r="G76" s="2">
        <f>G73*9</f>
        <v>324</v>
      </c>
      <c r="H76" s="2"/>
      <c r="I76" s="2">
        <f>I73*9</f>
        <v>154.79999999999998</v>
      </c>
      <c r="J76" s="2"/>
      <c r="K76" s="2">
        <f>K73*9</f>
        <v>75</v>
      </c>
      <c r="L76" s="2"/>
      <c r="M76" s="2"/>
      <c r="N76" t="s">
        <v>30</v>
      </c>
    </row>
    <row r="77" spans="5:14" ht="15">
      <c r="E77" s="2" t="s">
        <v>66</v>
      </c>
      <c r="F77" s="2"/>
      <c r="G77" s="2" t="s">
        <v>66</v>
      </c>
      <c r="H77" s="2"/>
      <c r="I77" s="2" t="s">
        <v>66</v>
      </c>
      <c r="J77" s="2"/>
      <c r="K77" s="2" t="s">
        <v>66</v>
      </c>
      <c r="L77" s="2"/>
      <c r="M77" s="2"/>
      <c r="N77" t="s">
        <v>30</v>
      </c>
    </row>
    <row r="78" spans="1:14" ht="15">
      <c r="A78" t="s">
        <v>105</v>
      </c>
      <c r="E78" s="2">
        <f>E75-E76</f>
        <v>186.5</v>
      </c>
      <c r="F78" s="2"/>
      <c r="G78" s="2">
        <f>G75-G76</f>
        <v>-93</v>
      </c>
      <c r="H78" s="2"/>
      <c r="I78" s="2">
        <f>I75-I76</f>
        <v>-77.79999999999998</v>
      </c>
      <c r="J78" s="2"/>
      <c r="K78" s="2">
        <f>K75-K76</f>
        <v>-30</v>
      </c>
      <c r="L78" s="2"/>
      <c r="M78" s="2"/>
      <c r="N78" t="s">
        <v>30</v>
      </c>
    </row>
    <row r="79" spans="1:14" ht="15">
      <c r="A79" t="s">
        <v>93</v>
      </c>
      <c r="E79" s="2">
        <f>100*(E78/E76)</f>
        <v>31.636980491942325</v>
      </c>
      <c r="F79" s="2"/>
      <c r="G79" s="2">
        <f>100*(G78/G76)</f>
        <v>-28.703703703703702</v>
      </c>
      <c r="H79" s="2"/>
      <c r="I79" s="2">
        <f>100*(I78/I76)</f>
        <v>-50.258397932816536</v>
      </c>
      <c r="J79" s="2"/>
      <c r="K79" s="2">
        <f>100*(K78/K76)</f>
        <v>-40</v>
      </c>
      <c r="L79" s="2"/>
      <c r="M79" s="2"/>
      <c r="N79" t="s">
        <v>30</v>
      </c>
    </row>
    <row r="80" spans="1:14" ht="15">
      <c r="A80" t="s">
        <v>106</v>
      </c>
      <c r="E80" s="2">
        <f>E78/9</f>
        <v>20.72222222222222</v>
      </c>
      <c r="F80" s="2"/>
      <c r="G80" s="2">
        <f>G78/9</f>
        <v>-10.333333333333334</v>
      </c>
      <c r="H80" s="2"/>
      <c r="I80" s="2">
        <f>I78/9</f>
        <v>-8.644444444444442</v>
      </c>
      <c r="J80" s="2"/>
      <c r="K80" s="2">
        <f>K78/9</f>
        <v>-3.3333333333333335</v>
      </c>
      <c r="L80" s="2"/>
      <c r="M80" s="2"/>
      <c r="N80" t="s">
        <v>30</v>
      </c>
    </row>
    <row r="81" spans="1:14" ht="15">
      <c r="A81" t="s">
        <v>107</v>
      </c>
      <c r="B81" t="s">
        <v>107</v>
      </c>
      <c r="C81" t="s">
        <v>107</v>
      </c>
      <c r="D81" t="s">
        <v>107</v>
      </c>
      <c r="E81" s="2" t="s">
        <v>107</v>
      </c>
      <c r="F81" s="2" t="s">
        <v>107</v>
      </c>
      <c r="G81" s="2" t="s">
        <v>107</v>
      </c>
      <c r="H81" s="2" t="s">
        <v>107</v>
      </c>
      <c r="I81" s="2" t="s">
        <v>107</v>
      </c>
      <c r="J81" s="2" t="s">
        <v>107</v>
      </c>
      <c r="K81" s="2" t="s">
        <v>107</v>
      </c>
      <c r="L81" s="2" t="s">
        <v>107</v>
      </c>
      <c r="M81" s="2"/>
      <c r="N81" t="s">
        <v>30</v>
      </c>
    </row>
    <row r="82" spans="1:14" ht="18">
      <c r="A82" s="5" t="s">
        <v>108</v>
      </c>
      <c r="B82" s="5"/>
      <c r="D82" t="s">
        <v>109</v>
      </c>
      <c r="N82" t="s">
        <v>30</v>
      </c>
    </row>
    <row r="83" spans="1:14" ht="18">
      <c r="A83" s="5" t="s">
        <v>110</v>
      </c>
      <c r="B83" s="5"/>
      <c r="N83" t="s">
        <v>30</v>
      </c>
    </row>
    <row r="84" spans="1:14" ht="18">
      <c r="A84" s="5" t="s">
        <v>111</v>
      </c>
      <c r="B84" s="5"/>
      <c r="E84" s="11" t="s">
        <v>112</v>
      </c>
      <c r="F84" s="11"/>
      <c r="G84" s="11"/>
      <c r="H84" s="11"/>
      <c r="N84" t="s">
        <v>30</v>
      </c>
    </row>
    <row r="85" spans="1:14" ht="18">
      <c r="A85" s="5" t="s">
        <v>113</v>
      </c>
      <c r="B85" s="5"/>
      <c r="E85" t="s">
        <v>114</v>
      </c>
      <c r="N85" t="s">
        <v>30</v>
      </c>
    </row>
    <row r="86" spans="5:14" ht="15">
      <c r="E86" t="s">
        <v>115</v>
      </c>
      <c r="N86" t="s">
        <v>30</v>
      </c>
    </row>
    <row r="87" spans="2:14" ht="15">
      <c r="B87" t="s">
        <v>116</v>
      </c>
      <c r="D87" t="s">
        <v>82</v>
      </c>
      <c r="E87">
        <v>3</v>
      </c>
      <c r="F87" t="s">
        <v>117</v>
      </c>
      <c r="G87" s="2">
        <f>SUM(C100)</f>
        <v>316.8</v>
      </c>
      <c r="H87" t="s">
        <v>118</v>
      </c>
      <c r="I87" s="2">
        <f>G87*E87</f>
        <v>950.4000000000001</v>
      </c>
      <c r="J87" t="s">
        <v>119</v>
      </c>
      <c r="N87" t="s">
        <v>30</v>
      </c>
    </row>
    <row r="88" spans="1:14" ht="15">
      <c r="A88" t="s">
        <v>120</v>
      </c>
      <c r="C88">
        <v>1</v>
      </c>
      <c r="D88" s="9">
        <f>100*(C88/$C$92)</f>
        <v>4</v>
      </c>
      <c r="E88" t="s">
        <v>121</v>
      </c>
      <c r="N88" t="s">
        <v>30</v>
      </c>
    </row>
    <row r="89" spans="1:14" ht="15">
      <c r="A89" t="s">
        <v>122</v>
      </c>
      <c r="C89">
        <v>9</v>
      </c>
      <c r="D89" s="9">
        <f>100*(C89/$C$92)</f>
        <v>36</v>
      </c>
      <c r="N89" t="s">
        <v>30</v>
      </c>
    </row>
    <row r="90" spans="1:14" ht="15">
      <c r="A90" t="s">
        <v>123</v>
      </c>
      <c r="C90">
        <v>15</v>
      </c>
      <c r="D90" s="9">
        <f>100*(C90/$C$92)</f>
        <v>60</v>
      </c>
      <c r="N90" t="s">
        <v>30</v>
      </c>
    </row>
    <row r="91" spans="3:14" ht="15">
      <c r="C91" t="s">
        <v>66</v>
      </c>
      <c r="N91" t="s">
        <v>30</v>
      </c>
    </row>
    <row r="92" spans="1:14" ht="18">
      <c r="A92" t="s">
        <v>124</v>
      </c>
      <c r="C92">
        <f>SUM(C88:C90)</f>
        <v>25</v>
      </c>
      <c r="E92" s="5" t="s">
        <v>125</v>
      </c>
      <c r="F92" s="5"/>
      <c r="G92" s="5"/>
      <c r="H92" s="5"/>
      <c r="N92" t="s">
        <v>30</v>
      </c>
    </row>
    <row r="93" ht="15">
      <c r="N93" t="s">
        <v>30</v>
      </c>
    </row>
    <row r="94" spans="5:14" ht="15">
      <c r="E94" t="s">
        <v>126</v>
      </c>
      <c r="N94" t="s">
        <v>30</v>
      </c>
    </row>
    <row r="95" spans="1:14" ht="15">
      <c r="A95" t="s">
        <v>127</v>
      </c>
      <c r="C95" t="s">
        <v>119</v>
      </c>
      <c r="D95" t="s">
        <v>82</v>
      </c>
      <c r="E95" t="s">
        <v>128</v>
      </c>
      <c r="N95" t="s">
        <v>30</v>
      </c>
    </row>
    <row r="96" spans="1:14" ht="15">
      <c r="A96" t="s">
        <v>129</v>
      </c>
      <c r="C96" s="2">
        <f>C88+G73</f>
        <v>37</v>
      </c>
      <c r="D96" s="9">
        <f>100*(C96/$C$100)</f>
        <v>11.679292929292929</v>
      </c>
      <c r="E96" t="s">
        <v>130</v>
      </c>
      <c r="N96" t="s">
        <v>30</v>
      </c>
    </row>
    <row r="97" spans="1:14" ht="15">
      <c r="A97" t="s">
        <v>131</v>
      </c>
      <c r="C97" s="2">
        <f>C89*I73</f>
        <v>154.79999999999998</v>
      </c>
      <c r="D97" s="9">
        <f>100*(C97/$C$100)</f>
        <v>48.86363636363636</v>
      </c>
      <c r="E97" t="s">
        <v>132</v>
      </c>
      <c r="N97" t="s">
        <v>30</v>
      </c>
    </row>
    <row r="98" spans="1:14" ht="15">
      <c r="A98" t="s">
        <v>133</v>
      </c>
      <c r="C98" s="2">
        <f>C90*K73</f>
        <v>125.00000000000001</v>
      </c>
      <c r="D98" s="9">
        <f>100*(C98/$C$100)</f>
        <v>39.45707070707071</v>
      </c>
      <c r="E98" t="s">
        <v>134</v>
      </c>
      <c r="N98" t="s">
        <v>30</v>
      </c>
    </row>
    <row r="99" spans="3:14" ht="15">
      <c r="C99" s="2" t="s">
        <v>66</v>
      </c>
      <c r="D99" s="9"/>
      <c r="E99" t="s">
        <v>135</v>
      </c>
      <c r="N99" t="s">
        <v>30</v>
      </c>
    </row>
    <row r="100" spans="1:14" ht="15">
      <c r="A100" t="s">
        <v>124</v>
      </c>
      <c r="C100" s="2">
        <f>SUM(C96:C98)</f>
        <v>316.8</v>
      </c>
      <c r="E100" t="s">
        <v>136</v>
      </c>
      <c r="N100" t="s">
        <v>30</v>
      </c>
    </row>
    <row r="101" spans="5:14" ht="15">
      <c r="E101" t="s">
        <v>137</v>
      </c>
      <c r="H101" s="1">
        <v>0.1</v>
      </c>
      <c r="I101" t="s">
        <v>82</v>
      </c>
      <c r="N101" t="s">
        <v>30</v>
      </c>
    </row>
    <row r="102" spans="5:14" ht="15">
      <c r="E102" t="s">
        <v>138</v>
      </c>
      <c r="H102" s="1">
        <v>0.1</v>
      </c>
      <c r="I102" t="s">
        <v>82</v>
      </c>
      <c r="N102" t="s">
        <v>30</v>
      </c>
    </row>
    <row r="103" ht="15">
      <c r="N103" t="s">
        <v>30</v>
      </c>
    </row>
    <row r="104" ht="15">
      <c r="N104" t="s">
        <v>30</v>
      </c>
    </row>
    <row r="105" spans="1:14" ht="15">
      <c r="A105" t="s">
        <v>139</v>
      </c>
      <c r="E105" s="8" t="s">
        <v>36</v>
      </c>
      <c r="F105" s="8"/>
      <c r="G105" s="8" t="s">
        <v>140</v>
      </c>
      <c r="H105" s="8"/>
      <c r="I105" s="8" t="s">
        <v>38</v>
      </c>
      <c r="J105" s="8"/>
      <c r="K105" s="8" t="s">
        <v>39</v>
      </c>
      <c r="L105" s="8"/>
      <c r="N105" t="s">
        <v>30</v>
      </c>
    </row>
    <row r="106" spans="1:14" ht="15">
      <c r="A106" t="s">
        <v>141</v>
      </c>
      <c r="E106" s="8" t="s">
        <v>142</v>
      </c>
      <c r="F106" s="8"/>
      <c r="G106" s="8" t="s">
        <v>143</v>
      </c>
      <c r="H106" s="8"/>
      <c r="I106" s="8" t="s">
        <v>144</v>
      </c>
      <c r="J106" s="8"/>
      <c r="K106" s="8" t="s">
        <v>145</v>
      </c>
      <c r="N106" t="s">
        <v>30</v>
      </c>
    </row>
    <row r="107" spans="1:14" ht="15">
      <c r="A107" t="s">
        <v>146</v>
      </c>
      <c r="E107">
        <v>0</v>
      </c>
      <c r="G107">
        <v>1</v>
      </c>
      <c r="I107">
        <v>9</v>
      </c>
      <c r="K107">
        <v>15</v>
      </c>
      <c r="N107" t="s">
        <v>30</v>
      </c>
    </row>
    <row r="108" ht="15">
      <c r="N108" t="s">
        <v>30</v>
      </c>
    </row>
    <row r="109" spans="1:14" ht="15">
      <c r="A109" t="s">
        <v>147</v>
      </c>
      <c r="E109" s="1"/>
      <c r="F109" s="1"/>
      <c r="G109" s="1">
        <f>SUM(G75)</f>
        <v>231</v>
      </c>
      <c r="H109" s="1"/>
      <c r="I109" s="1">
        <f>SUM(I75)</f>
        <v>77</v>
      </c>
      <c r="J109" s="1"/>
      <c r="K109" s="1">
        <f>SUM(K75)</f>
        <v>45</v>
      </c>
      <c r="N109" t="s">
        <v>30</v>
      </c>
    </row>
    <row r="110" spans="1:14" ht="15">
      <c r="A110" t="s">
        <v>148</v>
      </c>
      <c r="E110" s="1"/>
      <c r="F110" s="1"/>
      <c r="G110" s="1">
        <f>SUM(G76)</f>
        <v>324</v>
      </c>
      <c r="H110" s="1"/>
      <c r="I110" s="1">
        <f>SUM(I76)</f>
        <v>154.79999999999998</v>
      </c>
      <c r="J110" s="1"/>
      <c r="K110" s="1">
        <f>SUM(K76)</f>
        <v>75</v>
      </c>
      <c r="N110" t="s">
        <v>30</v>
      </c>
    </row>
    <row r="111" spans="1:14" ht="15">
      <c r="A111" t="s">
        <v>149</v>
      </c>
      <c r="C111" s="2"/>
      <c r="D111" s="2"/>
      <c r="E111" s="1"/>
      <c r="F111" s="1"/>
      <c r="G111" s="1">
        <v>0</v>
      </c>
      <c r="H111" s="1"/>
      <c r="I111" s="1">
        <f>I109*H101</f>
        <v>7.7</v>
      </c>
      <c r="J111" s="1"/>
      <c r="K111" s="1">
        <f>K109*H101</f>
        <v>4.5</v>
      </c>
      <c r="L111" s="2"/>
      <c r="N111" t="s">
        <v>30</v>
      </c>
    </row>
    <row r="112" spans="1:14" ht="15">
      <c r="A112" t="s">
        <v>150</v>
      </c>
      <c r="C112" s="2"/>
      <c r="D112" s="2"/>
      <c r="E112" s="1"/>
      <c r="F112" s="1"/>
      <c r="G112" s="1">
        <v>0</v>
      </c>
      <c r="H112" s="1"/>
      <c r="I112" s="1">
        <v>0</v>
      </c>
      <c r="J112" s="1"/>
      <c r="K112" s="1">
        <f>K109*H102</f>
        <v>4.5</v>
      </c>
      <c r="L112" s="2"/>
      <c r="N112" t="s">
        <v>30</v>
      </c>
    </row>
    <row r="113" spans="1:14" ht="15">
      <c r="A113" t="s">
        <v>151</v>
      </c>
      <c r="C113" s="2"/>
      <c r="D113" s="2"/>
      <c r="F113" s="1"/>
      <c r="G113" s="1">
        <v>0</v>
      </c>
      <c r="H113" s="1"/>
      <c r="I113" s="1">
        <f>SUM(I111:I112)</f>
        <v>7.7</v>
      </c>
      <c r="J113" s="1"/>
      <c r="K113" s="1">
        <f>SUM(K111:K112)</f>
        <v>9</v>
      </c>
      <c r="L113" s="2"/>
      <c r="N113" t="s">
        <v>30</v>
      </c>
    </row>
    <row r="114" spans="1:14" ht="15">
      <c r="A114" t="s">
        <v>152</v>
      </c>
      <c r="C114" s="2">
        <f>(SUM(I111)*I107+SUM(K111)*K107)+$G$111</f>
        <v>136.8</v>
      </c>
      <c r="D114" s="2"/>
      <c r="E114" s="1" t="s">
        <v>153</v>
      </c>
      <c r="F114" s="1"/>
      <c r="G114" s="1"/>
      <c r="H114" s="1"/>
      <c r="I114" s="1"/>
      <c r="J114" s="1"/>
      <c r="K114" s="1"/>
      <c r="L114" s="2"/>
      <c r="N114" t="s">
        <v>30</v>
      </c>
    </row>
    <row r="115" spans="1:14" ht="15">
      <c r="A115" t="s">
        <v>154</v>
      </c>
      <c r="C115" s="1">
        <f>C114/4</f>
        <v>34.2</v>
      </c>
      <c r="E115" t="s">
        <v>155</v>
      </c>
      <c r="N115" t="s">
        <v>30</v>
      </c>
    </row>
    <row r="116" spans="1:14" ht="15">
      <c r="A116" t="s">
        <v>156</v>
      </c>
      <c r="C116" s="1">
        <f>C114/4</f>
        <v>34.2</v>
      </c>
      <c r="D116" t="s">
        <v>118</v>
      </c>
      <c r="E116">
        <f>C116/9</f>
        <v>3.8000000000000003</v>
      </c>
      <c r="N116" t="s">
        <v>30</v>
      </c>
    </row>
    <row r="117" spans="1:14" ht="15">
      <c r="A117" t="s">
        <v>157</v>
      </c>
      <c r="C117" s="2"/>
      <c r="D117" s="2"/>
      <c r="E117" s="1"/>
      <c r="F117" s="1"/>
      <c r="G117" s="1">
        <f>(C114)/2</f>
        <v>68.4</v>
      </c>
      <c r="H117" s="1"/>
      <c r="I117" s="1">
        <v>0</v>
      </c>
      <c r="J117" s="1"/>
      <c r="K117" s="1">
        <v>0</v>
      </c>
      <c r="L117" s="2"/>
      <c r="N117" t="s">
        <v>30</v>
      </c>
    </row>
    <row r="118" spans="1:14" ht="15">
      <c r="A118" t="s">
        <v>158</v>
      </c>
      <c r="C118" s="2"/>
      <c r="D118" s="2"/>
      <c r="E118" s="1"/>
      <c r="F118" s="1"/>
      <c r="G118" s="1">
        <f>K113*6</f>
        <v>54</v>
      </c>
      <c r="H118" s="1"/>
      <c r="I118" s="1">
        <f>K113*1</f>
        <v>9</v>
      </c>
      <c r="J118" s="1"/>
      <c r="K118" s="1">
        <v>0</v>
      </c>
      <c r="L118" s="2"/>
      <c r="N118" t="s">
        <v>30</v>
      </c>
    </row>
    <row r="119" spans="1:14" ht="15">
      <c r="A119" t="s">
        <v>159</v>
      </c>
      <c r="C119" s="2"/>
      <c r="D119" s="2"/>
      <c r="E119" s="1"/>
      <c r="F119" s="1"/>
      <c r="G119" s="1">
        <f>SUM(G117:G118)</f>
        <v>122.4</v>
      </c>
      <c r="H119" s="1"/>
      <c r="I119" s="1">
        <f>SUM(I117:I118)</f>
        <v>9</v>
      </c>
      <c r="J119" s="1"/>
      <c r="K119" s="1">
        <f>SUM(K117:K118)</f>
        <v>0</v>
      </c>
      <c r="L119" s="2"/>
      <c r="N119" t="s">
        <v>30</v>
      </c>
    </row>
    <row r="120" spans="1:14" ht="15">
      <c r="A120" t="s">
        <v>160</v>
      </c>
      <c r="C120" s="2"/>
      <c r="D120" s="2"/>
      <c r="E120" s="1"/>
      <c r="F120" s="1"/>
      <c r="G120" s="1">
        <f>(G109+G119)-(G113+G110)</f>
        <v>29.399999999999977</v>
      </c>
      <c r="H120" s="1"/>
      <c r="I120" s="1">
        <f>(I109+I119)-(I113+I110)</f>
        <v>-76.49999999999997</v>
      </c>
      <c r="J120" s="1"/>
      <c r="K120" s="1">
        <f>(K109+K119)-(K113+K110)</f>
        <v>-39</v>
      </c>
      <c r="L120" s="2"/>
      <c r="N120" t="s">
        <v>30</v>
      </c>
    </row>
    <row r="121" spans="1:14" ht="15">
      <c r="A121" t="s">
        <v>161</v>
      </c>
      <c r="C121" s="2"/>
      <c r="D121" s="2"/>
      <c r="E121" s="1"/>
      <c r="F121" s="1"/>
      <c r="G121" s="1">
        <f>100*(G120/G109)</f>
        <v>12.727272727272718</v>
      </c>
      <c r="H121" s="1"/>
      <c r="I121" s="1">
        <f>100*(I120/I109)</f>
        <v>-99.3506493506493</v>
      </c>
      <c r="J121" s="1"/>
      <c r="K121" s="1">
        <f>100*(K120/K109)</f>
        <v>-86.66666666666667</v>
      </c>
      <c r="L121" s="1"/>
      <c r="N121" t="s">
        <v>30</v>
      </c>
    </row>
    <row r="122" spans="3:14" ht="15">
      <c r="C122" s="2"/>
      <c r="D122" s="2"/>
      <c r="E122" s="2"/>
      <c r="F122" s="2"/>
      <c r="G122" s="2"/>
      <c r="H122" s="2"/>
      <c r="I122" s="2"/>
      <c r="J122" s="2"/>
      <c r="K122" s="2"/>
      <c r="L122" s="2"/>
      <c r="N122" t="s">
        <v>30</v>
      </c>
    </row>
    <row r="123" spans="1:14" ht="15">
      <c r="A123" t="s">
        <v>66</v>
      </c>
      <c r="B123" t="s">
        <v>66</v>
      </c>
      <c r="C123" t="s">
        <v>66</v>
      </c>
      <c r="D123" t="s">
        <v>66</v>
      </c>
      <c r="E123" t="s">
        <v>66</v>
      </c>
      <c r="F123" t="s">
        <v>66</v>
      </c>
      <c r="G123" t="s">
        <v>66</v>
      </c>
      <c r="H123" t="s">
        <v>66</v>
      </c>
      <c r="I123" t="s">
        <v>66</v>
      </c>
      <c r="J123" t="s">
        <v>66</v>
      </c>
      <c r="K123" t="s">
        <v>66</v>
      </c>
      <c r="L123" t="s">
        <v>66</v>
      </c>
      <c r="M123" t="s">
        <v>66</v>
      </c>
      <c r="N123" t="s">
        <v>66</v>
      </c>
    </row>
    <row r="124" spans="1:14" ht="15">
      <c r="A124" t="s">
        <v>162</v>
      </c>
      <c r="C124" s="2"/>
      <c r="D124" s="2"/>
      <c r="E124" s="2"/>
      <c r="F124" s="2"/>
      <c r="G124" s="2"/>
      <c r="H124" s="2"/>
      <c r="I124" s="2"/>
      <c r="J124" s="2"/>
      <c r="K124" s="2"/>
      <c r="L124" s="2"/>
      <c r="N124" t="s">
        <v>30</v>
      </c>
    </row>
    <row r="125" spans="1:14" ht="15">
      <c r="A125" t="s">
        <v>163</v>
      </c>
      <c r="C125" s="2" t="s">
        <v>164</v>
      </c>
      <c r="D125" s="2"/>
      <c r="E125" s="2">
        <v>1</v>
      </c>
      <c r="F125" s="2"/>
      <c r="G125" s="2">
        <v>2</v>
      </c>
      <c r="H125" s="2"/>
      <c r="I125" s="2">
        <v>3</v>
      </c>
      <c r="J125" s="2"/>
      <c r="K125" s="2">
        <v>4</v>
      </c>
      <c r="L125" s="2"/>
      <c r="M125" s="2"/>
      <c r="N125" t="s">
        <v>30</v>
      </c>
    </row>
    <row r="126" spans="1:14" ht="15">
      <c r="A126" t="s">
        <v>165</v>
      </c>
      <c r="C126" s="2"/>
      <c r="D126" s="2"/>
      <c r="E126" s="2"/>
      <c r="F126" s="2"/>
      <c r="G126" s="2"/>
      <c r="H126" s="2"/>
      <c r="I126" s="2"/>
      <c r="J126" s="2"/>
      <c r="K126" s="2"/>
      <c r="L126" s="2"/>
      <c r="M126" s="2"/>
      <c r="N126" t="s">
        <v>30</v>
      </c>
    </row>
    <row r="127" spans="3:14" ht="15">
      <c r="C127" s="2" t="s">
        <v>166</v>
      </c>
      <c r="D127" s="2"/>
      <c r="E127" s="2">
        <v>121</v>
      </c>
      <c r="F127" s="2"/>
      <c r="G127" s="2">
        <v>31</v>
      </c>
      <c r="H127" s="2"/>
      <c r="I127" s="2">
        <v>8</v>
      </c>
      <c r="J127" s="2"/>
      <c r="K127" s="2">
        <v>5</v>
      </c>
      <c r="L127" s="2"/>
      <c r="M127" s="2"/>
      <c r="N127" t="s">
        <v>30</v>
      </c>
    </row>
    <row r="128" spans="3:14" ht="15">
      <c r="C128" s="2" t="s">
        <v>167</v>
      </c>
      <c r="D128" s="2"/>
      <c r="E128" s="2">
        <v>50</v>
      </c>
      <c r="F128" s="2"/>
      <c r="G128" s="2">
        <v>45</v>
      </c>
      <c r="H128" s="2"/>
      <c r="I128" s="2">
        <v>29</v>
      </c>
      <c r="J128" s="2"/>
      <c r="K128" s="2">
        <v>15</v>
      </c>
      <c r="L128" s="2"/>
      <c r="M128" s="2"/>
      <c r="N128" t="s">
        <v>30</v>
      </c>
    </row>
    <row r="129" spans="3:14" ht="15">
      <c r="C129" s="2" t="s">
        <v>168</v>
      </c>
      <c r="D129" s="2"/>
      <c r="E129" s="2">
        <f>E127-E33</f>
        <v>0</v>
      </c>
      <c r="F129" s="2"/>
      <c r="G129" s="2">
        <f>G127-G33</f>
        <v>0</v>
      </c>
      <c r="H129" s="2"/>
      <c r="I129" s="2">
        <f>I127-I33</f>
        <v>0</v>
      </c>
      <c r="J129" s="2"/>
      <c r="K129" s="2">
        <f>K127-K33</f>
        <v>0</v>
      </c>
      <c r="L129" s="2"/>
      <c r="M129" s="2"/>
      <c r="N129" t="s">
        <v>30</v>
      </c>
    </row>
    <row r="130" spans="3:14" ht="15">
      <c r="C130" s="2" t="s">
        <v>169</v>
      </c>
      <c r="D130" s="2"/>
      <c r="E130" s="2">
        <f>E128-E34</f>
        <v>0</v>
      </c>
      <c r="F130" s="2"/>
      <c r="G130" s="2">
        <f>G128-G34</f>
        <v>0</v>
      </c>
      <c r="H130" s="2"/>
      <c r="I130" s="2">
        <f>I128-I34</f>
        <v>0</v>
      </c>
      <c r="J130" s="2"/>
      <c r="K130" s="2">
        <f>K128-K34</f>
        <v>0</v>
      </c>
      <c r="L130" s="2"/>
      <c r="M130" s="2"/>
      <c r="N130" t="s">
        <v>30</v>
      </c>
    </row>
    <row r="131" spans="3:14" ht="15">
      <c r="C131" s="2"/>
      <c r="D131" s="2"/>
      <c r="E131" s="2"/>
      <c r="F131" s="2"/>
      <c r="G131" s="2"/>
      <c r="H131" s="2"/>
      <c r="I131" s="2"/>
      <c r="J131" s="2"/>
      <c r="K131" s="2"/>
      <c r="L131" s="2"/>
      <c r="M131" s="2"/>
      <c r="N131" t="s">
        <v>30</v>
      </c>
    </row>
    <row r="132" spans="1:14" ht="15">
      <c r="A132" t="s">
        <v>170</v>
      </c>
      <c r="C132" s="2"/>
      <c r="D132" s="2"/>
      <c r="E132" s="2">
        <f>SUM(E129:E130)</f>
        <v>0</v>
      </c>
      <c r="F132" s="2"/>
      <c r="G132" s="2">
        <f>SUM(G129:G130)</f>
        <v>0</v>
      </c>
      <c r="H132" s="2"/>
      <c r="I132" s="2">
        <f>SUM(I129:I130)</f>
        <v>0</v>
      </c>
      <c r="J132" s="2"/>
      <c r="K132" s="2">
        <f>SUM(K129:K130)</f>
        <v>0</v>
      </c>
      <c r="L132" s="2"/>
      <c r="M132" s="2"/>
      <c r="N132" t="s">
        <v>30</v>
      </c>
    </row>
    <row r="133" spans="1:14" ht="15">
      <c r="A133" t="s">
        <v>171</v>
      </c>
      <c r="C133" s="2"/>
      <c r="D133" s="2"/>
      <c r="E133" s="2">
        <f>100*(E129/E127)</f>
        <v>0</v>
      </c>
      <c r="F133" s="2"/>
      <c r="G133" s="2">
        <f>100*(G129/G127)</f>
        <v>0</v>
      </c>
      <c r="H133" s="2"/>
      <c r="I133" s="2">
        <f>100*(I129/I127)</f>
        <v>0</v>
      </c>
      <c r="J133" s="2"/>
      <c r="K133" s="2">
        <f>100*(K129/K127)</f>
        <v>0</v>
      </c>
      <c r="L133" s="2"/>
      <c r="M133" s="2"/>
      <c r="N133" t="s">
        <v>30</v>
      </c>
    </row>
    <row r="134" spans="1:14" ht="15">
      <c r="A134" t="s">
        <v>172</v>
      </c>
      <c r="C134" s="2"/>
      <c r="D134" s="2"/>
      <c r="E134" s="2">
        <f>100*(E130/E128)</f>
        <v>0</v>
      </c>
      <c r="F134" s="2"/>
      <c r="G134" s="2">
        <f>100*(G130/G128)</f>
        <v>0</v>
      </c>
      <c r="H134" s="2"/>
      <c r="I134" s="2">
        <f>100*(I130/I128)</f>
        <v>0</v>
      </c>
      <c r="J134" s="2"/>
      <c r="K134" s="2">
        <f>100*(K130/K128)</f>
        <v>0</v>
      </c>
      <c r="L134" s="2"/>
      <c r="M134" s="2"/>
      <c r="N134" t="s">
        <v>30</v>
      </c>
    </row>
    <row r="135" spans="3:14" ht="15">
      <c r="C135" s="2"/>
      <c r="D135" s="2"/>
      <c r="E135" s="2"/>
      <c r="F135" s="2"/>
      <c r="G135" s="2"/>
      <c r="H135" s="2"/>
      <c r="I135" s="2"/>
      <c r="J135" s="2"/>
      <c r="K135" s="2"/>
      <c r="L135" s="2"/>
      <c r="M135" s="2"/>
      <c r="N135" t="s">
        <v>30</v>
      </c>
    </row>
    <row r="136" spans="3:14" ht="15">
      <c r="C136" s="2"/>
      <c r="D136" s="2"/>
      <c r="E136" s="2"/>
      <c r="F136" s="2"/>
      <c r="G136" s="2"/>
      <c r="H136" s="2"/>
      <c r="I136" s="2"/>
      <c r="J136" s="2"/>
      <c r="K136" s="2"/>
      <c r="L136" s="2"/>
      <c r="M136" s="2"/>
      <c r="N136" t="s">
        <v>30</v>
      </c>
    </row>
    <row r="137" spans="3:13" ht="15">
      <c r="C137" s="2"/>
      <c r="D137" s="2"/>
      <c r="E137" s="2"/>
      <c r="F137" s="2"/>
      <c r="G137" s="2"/>
      <c r="H137" s="2"/>
      <c r="I137" s="2"/>
      <c r="J137" s="2"/>
      <c r="K137" s="2"/>
      <c r="L137" s="2"/>
      <c r="M137" s="2"/>
    </row>
    <row r="138" spans="3:12" ht="15">
      <c r="C138" s="2"/>
      <c r="D138" s="2"/>
      <c r="E138" s="2"/>
      <c r="F138" s="2"/>
      <c r="G138" s="2"/>
      <c r="H138" s="2"/>
      <c r="I138" s="2"/>
      <c r="J138" s="2"/>
      <c r="K138" s="2"/>
      <c r="L138" s="2"/>
    </row>
    <row r="139" spans="3:12" ht="15">
      <c r="C139" s="2"/>
      <c r="D139" s="2"/>
      <c r="E139" s="2"/>
      <c r="F139" s="2"/>
      <c r="G139" s="2"/>
      <c r="H139" s="2"/>
      <c r="I139" s="2"/>
      <c r="J139" s="2"/>
      <c r="K139" s="2"/>
      <c r="L139" s="2"/>
    </row>
    <row r="140" spans="3:12" ht="15">
      <c r="C140" s="2"/>
      <c r="D140" s="2"/>
      <c r="E140" s="2"/>
      <c r="F140" s="2"/>
      <c r="G140" s="2"/>
      <c r="H140" s="2"/>
      <c r="I140" s="2"/>
      <c r="J140" s="2"/>
      <c r="K140" s="2"/>
      <c r="L140" s="2"/>
    </row>
    <row r="141" spans="3:12" ht="15">
      <c r="C141" s="2"/>
      <c r="D141" s="2"/>
      <c r="E141" s="2"/>
      <c r="F141" s="2"/>
      <c r="G141" s="2"/>
      <c r="H141" s="2"/>
      <c r="I141" s="2"/>
      <c r="J141" s="2"/>
      <c r="K141" s="2"/>
      <c r="L141" s="2"/>
    </row>
    <row r="142" spans="3:12" ht="15">
      <c r="C142" s="2"/>
      <c r="D142" s="2"/>
      <c r="E142" s="2"/>
      <c r="F142" s="2"/>
      <c r="G142" s="2"/>
      <c r="H142" s="2"/>
      <c r="I142" s="2"/>
      <c r="J142" s="2"/>
      <c r="K142" s="2"/>
      <c r="L142" s="2"/>
    </row>
    <row r="143" spans="3:12" ht="15">
      <c r="C143" s="2"/>
      <c r="D143" s="2"/>
      <c r="E143" s="2"/>
      <c r="F143" s="2"/>
      <c r="G143" s="2"/>
      <c r="H143" s="2"/>
      <c r="I143" s="2"/>
      <c r="J143" s="2"/>
      <c r="K143" s="2"/>
      <c r="L143" s="2"/>
    </row>
    <row r="144" spans="3:12" ht="15">
      <c r="C144" s="2"/>
      <c r="D144" s="2"/>
      <c r="E144" s="2"/>
      <c r="F144" s="2"/>
      <c r="G144" s="2"/>
      <c r="H144" s="2"/>
      <c r="I144" s="2"/>
      <c r="J144" s="2"/>
      <c r="K144" s="2"/>
      <c r="L144" s="2"/>
    </row>
    <row r="145" spans="3:12" ht="15">
      <c r="C145" s="2"/>
      <c r="D145" s="2"/>
      <c r="E145" s="2"/>
      <c r="F145" s="2"/>
      <c r="G145" s="2"/>
      <c r="H145" s="2"/>
      <c r="I145" s="2"/>
      <c r="J145" s="2"/>
      <c r="K145" s="2"/>
      <c r="L145" s="2"/>
    </row>
    <row r="146" spans="3:12" ht="15">
      <c r="C146" s="2"/>
      <c r="D146" s="2"/>
      <c r="E146" s="2"/>
      <c r="F146" s="2"/>
      <c r="G146" s="2"/>
      <c r="H146" s="2"/>
      <c r="I146" s="2"/>
      <c r="J146" s="2"/>
      <c r="K146" s="2"/>
      <c r="L146" s="2"/>
    </row>
    <row r="147" spans="3:12" ht="15">
      <c r="C147" s="2"/>
      <c r="D147" s="2"/>
      <c r="E147" s="2"/>
      <c r="F147" s="2"/>
      <c r="G147" s="2"/>
      <c r="H147" s="2"/>
      <c r="I147" s="2"/>
      <c r="J147" s="2"/>
      <c r="K147" s="2"/>
      <c r="L147" s="2"/>
    </row>
    <row r="148" spans="3:12" ht="15">
      <c r="C148" s="2"/>
      <c r="D148" s="2"/>
      <c r="E148" s="2"/>
      <c r="F148" s="2"/>
      <c r="G148" s="2"/>
      <c r="H148" s="2"/>
      <c r="I148" s="2"/>
      <c r="J148" s="2"/>
      <c r="K148" s="2"/>
      <c r="L148" s="2"/>
    </row>
    <row r="149" spans="3:12" ht="15">
      <c r="C149" s="2"/>
      <c r="D149" s="2"/>
      <c r="E149" s="2"/>
      <c r="F149" s="2"/>
      <c r="G149" s="2"/>
      <c r="H149" s="2"/>
      <c r="I149" s="2"/>
      <c r="J149" s="2"/>
      <c r="K149" s="2"/>
      <c r="L149" s="2"/>
    </row>
    <row r="150" spans="3:12" ht="15">
      <c r="C150" s="2"/>
      <c r="D150" s="2"/>
      <c r="E150" s="2"/>
      <c r="F150" s="2"/>
      <c r="G150" s="2"/>
      <c r="H150" s="2"/>
      <c r="I150" s="2"/>
      <c r="J150" s="2"/>
      <c r="K150" s="2"/>
      <c r="L150" s="2"/>
    </row>
  </sheetData>
  <hyperlinks>
    <hyperlink ref="L12" r:id="rId1" display="nabo@voicenet.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Thomas H McGovern</cp:lastModifiedBy>
  <dcterms:created xsi:type="dcterms:W3CDTF">2006-12-11T21:10:35Z</dcterms:created>
  <dcterms:modified xsi:type="dcterms:W3CDTF">2007-06-29T21:49:19Z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